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C4A84DF2-C420-40F0-AF71-428DCF62738E}" xr6:coauthVersionLast="47" xr6:coauthVersionMax="47" xr10:uidLastSave="{00000000-0000-0000-0000-000000000000}"/>
  <bookViews>
    <workbookView xWindow="-108" yWindow="-108" windowWidth="30936" windowHeight="18696" activeTab="2" xr2:uid="{E759E1F6-1C1B-4BE3-821A-721E9C2E8930}"/>
  </bookViews>
  <sheets>
    <sheet name="Battery" sheetId="1" r:id="rId1"/>
    <sheet name="Load" sheetId="2" r:id="rId2"/>
    <sheet name="Model-HP35" sheetId="3" r:id="rId3"/>
    <sheet name="Zener Leakage" sheetId="10" r:id="rId4"/>
    <sheet name="BQ21040" sheetId="8" r:id="rId5"/>
    <sheet name="Quiescent Current" sheetId="7" r:id="rId6"/>
    <sheet name="Sheet1" sheetId="9" r:id="rId7"/>
    <sheet name="TP4056" sheetId="5" r:id="rId8"/>
    <sheet name="TLV758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" l="1"/>
  <c r="N3" i="3"/>
  <c r="E16" i="10"/>
  <c r="D16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E8" i="10"/>
  <c r="D8" i="10"/>
  <c r="E7" i="10"/>
  <c r="D7" i="10"/>
  <c r="E6" i="10"/>
  <c r="D6" i="10"/>
  <c r="E5" i="10"/>
  <c r="D5" i="10"/>
  <c r="E4" i="10"/>
  <c r="D4" i="10"/>
  <c r="E55" i="2"/>
  <c r="E54" i="2"/>
  <c r="E53" i="2"/>
  <c r="E52" i="2"/>
  <c r="F52" i="2"/>
  <c r="E51" i="2"/>
  <c r="F51" i="2"/>
  <c r="E50" i="2"/>
  <c r="F50" i="2"/>
  <c r="E49" i="2"/>
  <c r="F49" i="2"/>
  <c r="E48" i="2"/>
  <c r="F48" i="2"/>
  <c r="E47" i="2"/>
  <c r="F47" i="2"/>
  <c r="E46" i="2"/>
  <c r="F46" i="2"/>
  <c r="E45" i="2"/>
  <c r="F45" i="2"/>
  <c r="E39" i="2"/>
  <c r="F39" i="2"/>
  <c r="E38" i="2"/>
  <c r="F38" i="2"/>
  <c r="E44" i="2"/>
  <c r="F44" i="2"/>
  <c r="E43" i="2"/>
  <c r="F43" i="2"/>
  <c r="E42" i="2"/>
  <c r="F42" i="2"/>
  <c r="E41" i="2"/>
  <c r="F41" i="2"/>
  <c r="E40" i="2"/>
  <c r="F40" i="2"/>
  <c r="E37" i="2"/>
  <c r="F37" i="2"/>
  <c r="E36" i="2"/>
  <c r="F36" i="2"/>
  <c r="E35" i="2"/>
  <c r="F35" i="2"/>
  <c r="E34" i="2"/>
  <c r="F34" i="2"/>
  <c r="F13" i="2"/>
  <c r="F12" i="2"/>
  <c r="F11" i="2"/>
  <c r="F10" i="2"/>
  <c r="F9" i="2"/>
  <c r="F8" i="2"/>
  <c r="F7" i="2"/>
  <c r="F6" i="2"/>
  <c r="F5" i="2"/>
  <c r="F4" i="2"/>
  <c r="F3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14" i="2"/>
  <c r="E14" i="2"/>
  <c r="E13" i="2"/>
  <c r="E12" i="2"/>
  <c r="E11" i="2"/>
  <c r="E10" i="2"/>
  <c r="E9" i="2"/>
  <c r="E8" i="2"/>
  <c r="E7" i="2"/>
  <c r="E6" i="2"/>
  <c r="E5" i="2"/>
  <c r="E4" i="2"/>
  <c r="E3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15" i="2"/>
  <c r="C4" i="3"/>
  <c r="K4" i="7"/>
  <c r="L4" i="7" s="1"/>
  <c r="G4" i="7"/>
  <c r="H4" i="7" s="1"/>
  <c r="B27" i="7"/>
  <c r="B16" i="6"/>
  <c r="B17" i="6" s="1"/>
  <c r="B18" i="6" s="1"/>
  <c r="B19" i="6" s="1"/>
  <c r="B17" i="8"/>
  <c r="B18" i="8" s="1"/>
  <c r="B16" i="8"/>
  <c r="B10" i="8"/>
  <c r="B9" i="8"/>
  <c r="B8" i="8"/>
  <c r="B15" i="7"/>
  <c r="B5" i="6"/>
  <c r="B12" i="6" s="1"/>
  <c r="D12" i="5"/>
  <c r="C12" i="5"/>
  <c r="D11" i="5"/>
  <c r="C11" i="5"/>
  <c r="B11" i="5"/>
  <c r="B12" i="5" s="1"/>
  <c r="D9" i="5"/>
  <c r="C9" i="5"/>
  <c r="B9" i="5"/>
  <c r="D8" i="5"/>
  <c r="C8" i="5"/>
  <c r="B8" i="5"/>
  <c r="D6" i="5"/>
  <c r="C6" i="5"/>
  <c r="B6" i="5"/>
  <c r="D4" i="5"/>
  <c r="C4" i="5"/>
  <c r="B4" i="5"/>
  <c r="D3" i="5"/>
  <c r="C3" i="5"/>
  <c r="B3" i="5"/>
  <c r="B41" i="1"/>
  <c r="B2" i="1"/>
  <c r="D4" i="3"/>
  <c r="E4" i="3" s="1" a="1"/>
  <c r="E4" i="3" s="1"/>
  <c r="F4" i="3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3" i="1"/>
  <c r="G4" i="3" l="1"/>
  <c r="I13" i="7"/>
  <c r="I21" i="7"/>
  <c r="I11" i="7"/>
  <c r="I20" i="7"/>
  <c r="I12" i="7"/>
  <c r="I10" i="7"/>
  <c r="I19" i="7"/>
  <c r="I4" i="7"/>
  <c r="J4" i="7" s="1"/>
  <c r="G5" i="7" s="1"/>
  <c r="I24" i="7"/>
  <c r="I18" i="7"/>
  <c r="I28" i="7"/>
  <c r="I14" i="7"/>
  <c r="I8" i="7"/>
  <c r="I7" i="7"/>
  <c r="I16" i="7"/>
  <c r="I22" i="7"/>
  <c r="I17" i="7"/>
  <c r="I15" i="7"/>
  <c r="I5" i="7"/>
  <c r="I23" i="7"/>
  <c r="I9" i="7"/>
  <c r="I6" i="7"/>
  <c r="I29" i="7"/>
  <c r="I31" i="7"/>
  <c r="I30" i="7"/>
  <c r="I27" i="7"/>
  <c r="I26" i="7"/>
  <c r="I25" i="7"/>
  <c r="I4" i="3"/>
  <c r="C5" i="3" s="1"/>
  <c r="B19" i="7"/>
  <c r="B20" i="7" s="1"/>
  <c r="B21" i="7" s="1"/>
  <c r="B16" i="7"/>
  <c r="B6" i="6"/>
  <c r="H5" i="7" l="1"/>
  <c r="J5" i="7" s="1"/>
  <c r="G6" i="7"/>
  <c r="H6" i="7" s="1"/>
  <c r="J6" i="7" s="1"/>
  <c r="G7" i="7" s="1"/>
  <c r="H7" i="7" s="1"/>
  <c r="J7" i="7" s="1"/>
  <c r="G8" i="7" s="1"/>
  <c r="B22" i="7"/>
  <c r="B23" i="7" s="1"/>
  <c r="B24" i="7" s="1"/>
  <c r="M18" i="7"/>
  <c r="M34" i="7"/>
  <c r="M35" i="7"/>
  <c r="M4" i="7"/>
  <c r="N4" i="7" s="1"/>
  <c r="K5" i="7" s="1"/>
  <c r="M20" i="7"/>
  <c r="M36" i="7"/>
  <c r="M21" i="7"/>
  <c r="M19" i="7"/>
  <c r="M6" i="7"/>
  <c r="M22" i="7"/>
  <c r="M38" i="7"/>
  <c r="M8" i="7"/>
  <c r="M31" i="7"/>
  <c r="M33" i="7"/>
  <c r="M7" i="7"/>
  <c r="M23" i="7"/>
  <c r="M39" i="7"/>
  <c r="M24" i="7"/>
  <c r="M40" i="7"/>
  <c r="M5" i="7"/>
  <c r="M9" i="7"/>
  <c r="M25" i="7"/>
  <c r="M41" i="7"/>
  <c r="M26" i="7"/>
  <c r="M42" i="7"/>
  <c r="M17" i="7"/>
  <c r="M10" i="7"/>
  <c r="M11" i="7"/>
  <c r="M27" i="7"/>
  <c r="M43" i="7"/>
  <c r="M32" i="7"/>
  <c r="M12" i="7"/>
  <c r="M28" i="7"/>
  <c r="M44" i="7"/>
  <c r="M30" i="7"/>
  <c r="M13" i="7"/>
  <c r="M29" i="7"/>
  <c r="M45" i="7"/>
  <c r="M14" i="7"/>
  <c r="M46" i="7"/>
  <c r="M16" i="7"/>
  <c r="M37" i="7"/>
  <c r="M15" i="7"/>
  <c r="H8" i="7"/>
  <c r="J8" i="7" s="1"/>
  <c r="B5" i="3"/>
  <c r="D5" i="3" s="1"/>
  <c r="E5" i="3" s="1" a="1"/>
  <c r="E5" i="3" s="1"/>
  <c r="G9" i="7" l="1"/>
  <c r="L5" i="7"/>
  <c r="N5" i="7" s="1"/>
  <c r="K6" i="7" s="1"/>
  <c r="H9" i="7"/>
  <c r="J9" i="7" s="1"/>
  <c r="G10" i="7" s="1"/>
  <c r="F5" i="3"/>
  <c r="G5" i="3" s="1"/>
  <c r="L6" i="7" l="1"/>
  <c r="N6" i="7" s="1"/>
  <c r="K7" i="7" s="1"/>
  <c r="H5" i="3"/>
  <c r="H10" i="7"/>
  <c r="J10" i="7" s="1"/>
  <c r="G11" i="7" s="1"/>
  <c r="L7" i="7" l="1"/>
  <c r="N7" i="7" s="1"/>
  <c r="K8" i="7" s="1"/>
  <c r="H11" i="7"/>
  <c r="J11" i="7" s="1"/>
  <c r="G12" i="7" s="1"/>
  <c r="I5" i="3"/>
  <c r="C6" i="3" s="1"/>
  <c r="B6" i="3" s="1"/>
  <c r="D6" i="3" s="1"/>
  <c r="E6" i="3" s="1" a="1"/>
  <c r="E6" i="3" s="1"/>
  <c r="F6" i="3" s="1"/>
  <c r="G6" i="3" s="1"/>
  <c r="L8" i="7" l="1"/>
  <c r="N8" i="7" s="1"/>
  <c r="K9" i="7"/>
  <c r="L9" i="7" s="1"/>
  <c r="N9" i="7" s="1"/>
  <c r="K10" i="7" s="1"/>
  <c r="H6" i="3"/>
  <c r="H12" i="7"/>
  <c r="J12" i="7" s="1"/>
  <c r="G13" i="7" s="1"/>
  <c r="L10" i="7" l="1"/>
  <c r="N10" i="7" s="1"/>
  <c r="K11" i="7" s="1"/>
  <c r="I6" i="3"/>
  <c r="C7" i="3" s="1"/>
  <c r="B7" i="3" s="1"/>
  <c r="D7" i="3" s="1"/>
  <c r="E7" i="3" s="1" a="1"/>
  <c r="E7" i="3" s="1"/>
  <c r="F7" i="3" s="1"/>
  <c r="H13" i="7"/>
  <c r="J13" i="7" s="1"/>
  <c r="G14" i="7" s="1"/>
  <c r="H7" i="3" l="1"/>
  <c r="G7" i="3"/>
  <c r="L11" i="7"/>
  <c r="N11" i="7" s="1"/>
  <c r="K12" i="7" s="1"/>
  <c r="L12" i="7" s="1"/>
  <c r="N12" i="7" s="1"/>
  <c r="K13" i="7" s="1"/>
  <c r="L13" i="7" s="1"/>
  <c r="N13" i="7" s="1"/>
  <c r="K14" i="7" s="1"/>
  <c r="H14" i="7"/>
  <c r="J14" i="7" s="1"/>
  <c r="G15" i="7" s="1"/>
  <c r="I7" i="3"/>
  <c r="C8" i="3" s="1"/>
  <c r="B8" i="3" s="1"/>
  <c r="D8" i="3" s="1"/>
  <c r="E8" i="3" s="1" a="1"/>
  <c r="E8" i="3" s="1"/>
  <c r="F8" i="3" s="1"/>
  <c r="H8" i="3" l="1"/>
  <c r="G8" i="3"/>
  <c r="H15" i="7"/>
  <c r="J15" i="7" s="1"/>
  <c r="G16" i="7" s="1"/>
  <c r="L14" i="7"/>
  <c r="N14" i="7" s="1"/>
  <c r="K15" i="7" s="1"/>
  <c r="H16" i="7" l="1"/>
  <c r="J16" i="7" s="1"/>
  <c r="G17" i="7" s="1"/>
  <c r="H17" i="7" s="1"/>
  <c r="J17" i="7" s="1"/>
  <c r="G18" i="7" s="1"/>
  <c r="H18" i="7" s="1"/>
  <c r="J18" i="7" s="1"/>
  <c r="G19" i="7" s="1"/>
  <c r="L15" i="7"/>
  <c r="N15" i="7" s="1"/>
  <c r="K16" i="7" s="1"/>
  <c r="I8" i="3"/>
  <c r="C9" i="3" s="1"/>
  <c r="B9" i="3" s="1"/>
  <c r="D9" i="3" s="1"/>
  <c r="E9" i="3" s="1" a="1"/>
  <c r="E9" i="3" s="1"/>
  <c r="F9" i="3" s="1"/>
  <c r="H9" i="3" l="1"/>
  <c r="G9" i="3"/>
  <c r="H19" i="7"/>
  <c r="J19" i="7" s="1"/>
  <c r="G20" i="7"/>
  <c r="H20" i="7" s="1"/>
  <c r="J20" i="7" s="1"/>
  <c r="G21" i="7" s="1"/>
  <c r="L16" i="7"/>
  <c r="N16" i="7" s="1"/>
  <c r="K17" i="7" s="1"/>
  <c r="H21" i="7" l="1"/>
  <c r="J21" i="7" s="1"/>
  <c r="G22" i="7"/>
  <c r="H22" i="7" s="1"/>
  <c r="J22" i="7" s="1"/>
  <c r="G23" i="7" s="1"/>
  <c r="L17" i="7"/>
  <c r="N17" i="7" s="1"/>
  <c r="K18" i="7" s="1"/>
  <c r="I9" i="3"/>
  <c r="C10" i="3" s="1"/>
  <c r="B10" i="3" s="1"/>
  <c r="D10" i="3" s="1"/>
  <c r="E10" i="3" s="1" a="1"/>
  <c r="E10" i="3" s="1"/>
  <c r="F10" i="3" s="1"/>
  <c r="H10" i="3" l="1"/>
  <c r="G10" i="3"/>
  <c r="H23" i="7"/>
  <c r="J23" i="7" s="1"/>
  <c r="G24" i="7" s="1"/>
  <c r="L18" i="7"/>
  <c r="N18" i="7" s="1"/>
  <c r="K19" i="7" s="1"/>
  <c r="H24" i="7" l="1"/>
  <c r="J24" i="7" s="1"/>
  <c r="G25" i="7" s="1"/>
  <c r="L19" i="7"/>
  <c r="N19" i="7" s="1"/>
  <c r="K20" i="7" s="1"/>
  <c r="I10" i="3"/>
  <c r="C11" i="3" s="1"/>
  <c r="B11" i="3" s="1"/>
  <c r="D11" i="3" s="1"/>
  <c r="E11" i="3" s="1" a="1"/>
  <c r="E11" i="3" s="1"/>
  <c r="F11" i="3" s="1"/>
  <c r="H11" i="3" l="1"/>
  <c r="G11" i="3"/>
  <c r="H25" i="7"/>
  <c r="J25" i="7" s="1"/>
  <c r="G26" i="7" s="1"/>
  <c r="H26" i="7" s="1"/>
  <c r="J26" i="7" s="1"/>
  <c r="G27" i="7" s="1"/>
  <c r="L20" i="7"/>
  <c r="N20" i="7" s="1"/>
  <c r="K21" i="7" s="1"/>
  <c r="I11" i="3"/>
  <c r="C12" i="3" s="1"/>
  <c r="B12" i="3" s="1"/>
  <c r="D12" i="3" s="1"/>
  <c r="E12" i="3" s="1" a="1"/>
  <c r="E12" i="3" s="1"/>
  <c r="F12" i="3" s="1"/>
  <c r="H12" i="3" l="1"/>
  <c r="G12" i="3"/>
  <c r="H27" i="7"/>
  <c r="J27" i="7" s="1"/>
  <c r="G28" i="7" s="1"/>
  <c r="L21" i="7"/>
  <c r="N21" i="7" s="1"/>
  <c r="K22" i="7" s="1"/>
  <c r="I12" i="3"/>
  <c r="C13" i="3" s="1"/>
  <c r="B13" i="3" s="1"/>
  <c r="D13" i="3" s="1"/>
  <c r="E13" i="3" s="1" a="1"/>
  <c r="E13" i="3" s="1"/>
  <c r="H28" i="7" l="1"/>
  <c r="J28" i="7" s="1"/>
  <c r="G29" i="7" s="1"/>
  <c r="L22" i="7"/>
  <c r="N22" i="7" s="1"/>
  <c r="K23" i="7" s="1"/>
  <c r="F13" i="3"/>
  <c r="H13" i="3" l="1"/>
  <c r="G13" i="3"/>
  <c r="H29" i="7"/>
  <c r="J29" i="7" s="1"/>
  <c r="G30" i="7" s="1"/>
  <c r="L23" i="7"/>
  <c r="N23" i="7" s="1"/>
  <c r="K24" i="7" s="1"/>
  <c r="H30" i="7" l="1"/>
  <c r="J30" i="7" s="1"/>
  <c r="G31" i="7"/>
  <c r="H31" i="7" s="1"/>
  <c r="J31" i="7" s="1"/>
  <c r="L24" i="7"/>
  <c r="N24" i="7" s="1"/>
  <c r="K25" i="7" s="1"/>
  <c r="I13" i="3"/>
  <c r="C14" i="3" s="1"/>
  <c r="B14" i="3" s="1"/>
  <c r="D14" i="3" s="1"/>
  <c r="E14" i="3" s="1" a="1"/>
  <c r="E14" i="3" s="1"/>
  <c r="F14" i="3" s="1"/>
  <c r="H14" i="3" l="1"/>
  <c r="G14" i="3"/>
  <c r="L25" i="7"/>
  <c r="N25" i="7" s="1"/>
  <c r="K26" i="7" s="1"/>
  <c r="L26" i="7" l="1"/>
  <c r="N26" i="7" s="1"/>
  <c r="K27" i="7"/>
  <c r="I14" i="3"/>
  <c r="C15" i="3" s="1"/>
  <c r="B15" i="3" s="1"/>
  <c r="D15" i="3" s="1"/>
  <c r="E15" i="3" s="1" a="1"/>
  <c r="E15" i="3" s="1"/>
  <c r="F15" i="3" s="1"/>
  <c r="H15" i="3" l="1"/>
  <c r="G15" i="3"/>
  <c r="L27" i="7"/>
  <c r="N27" i="7" s="1"/>
  <c r="K28" i="7"/>
  <c r="I15" i="3"/>
  <c r="C16" i="3" s="1"/>
  <c r="B16" i="3" s="1"/>
  <c r="D16" i="3" s="1"/>
  <c r="E16" i="3" s="1" a="1"/>
  <c r="E16" i="3" s="1"/>
  <c r="L28" i="7" l="1"/>
  <c r="N28" i="7" s="1"/>
  <c r="K29" i="7" s="1"/>
  <c r="F16" i="3"/>
  <c r="H16" i="3" l="1"/>
  <c r="G16" i="3"/>
  <c r="L29" i="7"/>
  <c r="N29" i="7" s="1"/>
  <c r="K30" i="7" s="1"/>
  <c r="I16" i="3"/>
  <c r="C17" i="3" s="1"/>
  <c r="B17" i="3" s="1"/>
  <c r="D17" i="3" s="1"/>
  <c r="E17" i="3" s="1" a="1"/>
  <c r="E17" i="3" s="1"/>
  <c r="L30" i="7" l="1"/>
  <c r="N30" i="7" s="1"/>
  <c r="K31" i="7"/>
  <c r="F17" i="3"/>
  <c r="H17" i="3" l="1"/>
  <c r="G17" i="3"/>
  <c r="L31" i="7"/>
  <c r="N31" i="7" s="1"/>
  <c r="K32" i="7" s="1"/>
  <c r="L32" i="7" l="1"/>
  <c r="N32" i="7" s="1"/>
  <c r="K33" i="7" s="1"/>
  <c r="I17" i="3"/>
  <c r="C18" i="3" s="1"/>
  <c r="B18" i="3" s="1"/>
  <c r="D18" i="3" s="1"/>
  <c r="E18" i="3" s="1" a="1"/>
  <c r="E18" i="3" s="1"/>
  <c r="F18" i="3" s="1"/>
  <c r="H18" i="3" l="1"/>
  <c r="G18" i="3"/>
  <c r="L33" i="7"/>
  <c r="N33" i="7" s="1"/>
  <c r="K34" i="7" s="1"/>
  <c r="I18" i="3"/>
  <c r="C19" i="3" s="1"/>
  <c r="B19" i="3" s="1"/>
  <c r="D19" i="3" s="1"/>
  <c r="E19" i="3" s="1" a="1"/>
  <c r="E19" i="3" s="1"/>
  <c r="L34" i="7" l="1"/>
  <c r="N34" i="7" s="1"/>
  <c r="K35" i="7"/>
  <c r="F19" i="3"/>
  <c r="H19" i="3" l="1"/>
  <c r="G19" i="3"/>
  <c r="L35" i="7"/>
  <c r="N35" i="7" s="1"/>
  <c r="K36" i="7" s="1"/>
  <c r="L36" i="7" l="1"/>
  <c r="N36" i="7" s="1"/>
  <c r="K37" i="7" s="1"/>
  <c r="I19" i="3"/>
  <c r="C20" i="3" s="1"/>
  <c r="B20" i="3" s="1"/>
  <c r="D20" i="3" s="1"/>
  <c r="E20" i="3" s="1" a="1"/>
  <c r="E20" i="3" s="1"/>
  <c r="F20" i="3" s="1"/>
  <c r="H20" i="3" l="1"/>
  <c r="G20" i="3"/>
  <c r="L37" i="7"/>
  <c r="N37" i="7" s="1"/>
  <c r="K38" i="7" s="1"/>
  <c r="L38" i="7" l="1"/>
  <c r="N38" i="7" s="1"/>
  <c r="K39" i="7"/>
  <c r="I20" i="3"/>
  <c r="C21" i="3" s="1"/>
  <c r="B21" i="3" s="1"/>
  <c r="D21" i="3" s="1"/>
  <c r="E21" i="3" s="1" a="1"/>
  <c r="E21" i="3" s="1"/>
  <c r="F21" i="3" s="1"/>
  <c r="H21" i="3" l="1"/>
  <c r="G21" i="3"/>
  <c r="L39" i="7"/>
  <c r="N39" i="7" s="1"/>
  <c r="K40" i="7" s="1"/>
  <c r="L40" i="7" l="1"/>
  <c r="N40" i="7" s="1"/>
  <c r="K41" i="7"/>
  <c r="I21" i="3"/>
  <c r="C22" i="3" s="1"/>
  <c r="B22" i="3" s="1"/>
  <c r="D22" i="3" s="1"/>
  <c r="E22" i="3" s="1" a="1"/>
  <c r="E22" i="3" s="1"/>
  <c r="F22" i="3" s="1"/>
  <c r="H22" i="3" l="1"/>
  <c r="G22" i="3"/>
  <c r="L41" i="7"/>
  <c r="N41" i="7" s="1"/>
  <c r="K42" i="7" s="1"/>
  <c r="L42" i="7" l="1"/>
  <c r="N42" i="7" s="1"/>
  <c r="K43" i="7" s="1"/>
  <c r="I22" i="3"/>
  <c r="C23" i="3" s="1"/>
  <c r="B23" i="3" s="1"/>
  <c r="D23" i="3" s="1"/>
  <c r="E23" i="3" s="1" a="1"/>
  <c r="E23" i="3" s="1"/>
  <c r="F23" i="3" s="1"/>
  <c r="H23" i="3" l="1"/>
  <c r="G23" i="3"/>
  <c r="L43" i="7"/>
  <c r="N43" i="7" s="1"/>
  <c r="K44" i="7" s="1"/>
  <c r="I23" i="3"/>
  <c r="C24" i="3" s="1"/>
  <c r="B24" i="3" s="1"/>
  <c r="D24" i="3" s="1"/>
  <c r="E24" i="3" s="1" a="1"/>
  <c r="E24" i="3" s="1"/>
  <c r="L44" i="7" l="1"/>
  <c r="N44" i="7" s="1"/>
  <c r="K45" i="7"/>
  <c r="F24" i="3"/>
  <c r="H24" i="3" l="1"/>
  <c r="G24" i="3"/>
  <c r="L45" i="7"/>
  <c r="N45" i="7" s="1"/>
  <c r="K46" i="7" s="1"/>
  <c r="L46" i="7" s="1"/>
  <c r="N46" i="7" s="1"/>
  <c r="I24" i="3"/>
  <c r="C25" i="3" s="1"/>
  <c r="B25" i="3" s="1"/>
  <c r="D25" i="3" s="1"/>
  <c r="E25" i="3" s="1" a="1"/>
  <c r="E25" i="3" s="1"/>
  <c r="F25" i="3" l="1"/>
  <c r="H25" i="3" l="1"/>
  <c r="I25" i="3" s="1"/>
  <c r="C26" i="3" s="1"/>
  <c r="B26" i="3" s="1"/>
  <c r="D26" i="3" s="1"/>
  <c r="E26" i="3" s="1" a="1"/>
  <c r="E26" i="3" s="1"/>
  <c r="G25" i="3"/>
  <c r="F26" i="3" l="1"/>
  <c r="H26" i="3" l="1"/>
  <c r="G26" i="3"/>
  <c r="I26" i="3"/>
  <c r="C27" i="3" s="1"/>
  <c r="B27" i="3" s="1"/>
  <c r="D27" i="3" s="1"/>
  <c r="E27" i="3" s="1" a="1"/>
  <c r="E27" i="3" s="1"/>
  <c r="F27" i="3" l="1"/>
  <c r="H27" i="3" l="1"/>
  <c r="G27" i="3"/>
  <c r="I27" i="3"/>
  <c r="C28" i="3" s="1"/>
  <c r="B28" i="3" s="1"/>
  <c r="D28" i="3" s="1"/>
  <c r="E28" i="3" s="1" a="1"/>
  <c r="E28" i="3" s="1"/>
  <c r="F28" i="3" l="1"/>
  <c r="H28" i="3" l="1"/>
  <c r="G28" i="3"/>
  <c r="I28" i="3"/>
  <c r="C29" i="3" s="1"/>
  <c r="B29" i="3" s="1"/>
  <c r="D29" i="3" s="1"/>
  <c r="E29" i="3" s="1" a="1"/>
  <c r="E29" i="3" s="1"/>
  <c r="F29" i="3" l="1"/>
  <c r="H29" i="3" l="1"/>
  <c r="G29" i="3"/>
  <c r="I29" i="3"/>
  <c r="C30" i="3" s="1"/>
  <c r="B30" i="3" s="1"/>
  <c r="D30" i="3" s="1"/>
  <c r="E30" i="3" s="1" a="1"/>
  <c r="E30" i="3" s="1"/>
  <c r="F30" i="3" l="1"/>
  <c r="H30" i="3" l="1"/>
  <c r="G30" i="3"/>
  <c r="I30" i="3"/>
  <c r="C31" i="3" s="1"/>
  <c r="B31" i="3" s="1"/>
  <c r="D31" i="3" s="1"/>
  <c r="E31" i="3" s="1" a="1"/>
  <c r="E31" i="3" s="1"/>
  <c r="F31" i="3" l="1"/>
  <c r="H31" i="3" l="1"/>
  <c r="G31" i="3"/>
  <c r="I31" i="3"/>
  <c r="C32" i="3" s="1"/>
  <c r="B32" i="3" s="1"/>
  <c r="D32" i="3" s="1"/>
  <c r="E32" i="3" s="1" a="1"/>
  <c r="E32" i="3" s="1"/>
  <c r="F32" i="3" l="1"/>
  <c r="H32" i="3" l="1"/>
  <c r="G32" i="3"/>
  <c r="I32" i="3"/>
  <c r="C33" i="3" s="1"/>
  <c r="B33" i="3" s="1"/>
  <c r="D33" i="3" s="1"/>
  <c r="E33" i="3" s="1" a="1"/>
  <c r="E33" i="3" s="1"/>
  <c r="F33" i="3" l="1"/>
  <c r="H33" i="3" l="1"/>
  <c r="G33" i="3"/>
  <c r="I33" i="3" l="1"/>
  <c r="C34" i="3" s="1"/>
  <c r="B34" i="3" s="1"/>
  <c r="D34" i="3" s="1"/>
  <c r="E34" i="3" s="1" a="1"/>
  <c r="E34" i="3" s="1"/>
  <c r="F34" i="3" s="1"/>
  <c r="H34" i="3" l="1"/>
  <c r="G34" i="3"/>
  <c r="I34" i="3"/>
  <c r="C35" i="3" s="1"/>
  <c r="B35" i="3" s="1"/>
  <c r="D35" i="3" s="1"/>
  <c r="E35" i="3" s="1" a="1"/>
  <c r="E35" i="3" s="1"/>
  <c r="F35" i="3" l="1"/>
  <c r="H35" i="3" l="1"/>
  <c r="I35" i="3" s="1"/>
  <c r="C36" i="3" s="1"/>
  <c r="B36" i="3" s="1"/>
  <c r="D36" i="3" s="1"/>
  <c r="E36" i="3" s="1" a="1"/>
  <c r="E36" i="3" s="1"/>
  <c r="G35" i="3"/>
  <c r="F36" i="3" l="1"/>
  <c r="H36" i="3" l="1"/>
  <c r="G36" i="3"/>
  <c r="I36" i="3" l="1"/>
  <c r="C37" i="3" s="1"/>
  <c r="B37" i="3" s="1"/>
  <c r="D37" i="3" s="1"/>
  <c r="E37" i="3" s="1" a="1"/>
  <c r="E37" i="3" s="1"/>
  <c r="F37" i="3" s="1"/>
  <c r="H37" i="3" l="1"/>
  <c r="G37" i="3"/>
  <c r="I37" i="3"/>
  <c r="C38" i="3" s="1"/>
  <c r="B38" i="3" s="1"/>
  <c r="D38" i="3" s="1"/>
  <c r="E38" i="3" s="1" a="1"/>
  <c r="E38" i="3" s="1"/>
  <c r="F38" i="3" l="1"/>
  <c r="H38" i="3" l="1"/>
  <c r="G38" i="3"/>
  <c r="I38" i="3"/>
  <c r="C39" i="3" s="1"/>
  <c r="B39" i="3" s="1"/>
  <c r="D39" i="3" s="1"/>
  <c r="E39" i="3" s="1" a="1"/>
  <c r="E39" i="3" s="1"/>
  <c r="F39" i="3" l="1"/>
  <c r="H39" i="3" l="1"/>
  <c r="I39" i="3" s="1"/>
  <c r="C40" i="3" s="1"/>
  <c r="B40" i="3" s="1"/>
  <c r="D40" i="3" s="1"/>
  <c r="E40" i="3" s="1" a="1"/>
  <c r="E40" i="3" s="1"/>
  <c r="G39" i="3"/>
  <c r="F40" i="3" l="1"/>
  <c r="H40" i="3" l="1"/>
  <c r="G40" i="3"/>
  <c r="I40" i="3"/>
  <c r="C41" i="3" s="1"/>
  <c r="B41" i="3" s="1"/>
  <c r="D41" i="3" s="1"/>
  <c r="E41" i="3" s="1" a="1"/>
  <c r="E41" i="3" s="1"/>
  <c r="F41" i="3" l="1"/>
  <c r="H41" i="3" l="1"/>
  <c r="G41" i="3"/>
  <c r="I41" i="3"/>
  <c r="C42" i="3" s="1"/>
  <c r="B42" i="3" s="1"/>
  <c r="D42" i="3" s="1"/>
  <c r="E42" i="3" s="1" a="1"/>
  <c r="E42" i="3" s="1"/>
  <c r="F42" i="3" l="1"/>
  <c r="H42" i="3" l="1"/>
  <c r="G42" i="3"/>
  <c r="I42" i="3"/>
  <c r="C43" i="3" s="1"/>
  <c r="B43" i="3" s="1"/>
  <c r="D43" i="3" s="1"/>
  <c r="E43" i="3" s="1" a="1"/>
  <c r="E43" i="3" s="1"/>
  <c r="F43" i="3" l="1"/>
  <c r="H43" i="3" l="1"/>
  <c r="G43" i="3"/>
  <c r="I43" i="3"/>
  <c r="C44" i="3" s="1"/>
  <c r="B44" i="3" s="1"/>
  <c r="D44" i="3" s="1"/>
  <c r="E44" i="3" s="1" a="1"/>
  <c r="E44" i="3" s="1"/>
  <c r="F44" i="3" l="1"/>
  <c r="H44" i="3" l="1"/>
  <c r="G44" i="3"/>
  <c r="I44" i="3"/>
  <c r="C45" i="3" s="1"/>
  <c r="B45" i="3" s="1"/>
  <c r="D45" i="3" s="1"/>
  <c r="E45" i="3" s="1" a="1"/>
  <c r="E45" i="3" s="1"/>
  <c r="F45" i="3" l="1"/>
  <c r="H45" i="3" l="1"/>
  <c r="G45" i="3"/>
  <c r="I45" i="3"/>
  <c r="C46" i="3" s="1"/>
  <c r="B46" i="3" s="1"/>
  <c r="D46" i="3" s="1"/>
  <c r="E46" i="3" s="1" a="1"/>
  <c r="E46" i="3" s="1"/>
  <c r="F46" i="3" l="1"/>
  <c r="H46" i="3" l="1"/>
  <c r="G46" i="3"/>
  <c r="I46" i="3" l="1"/>
  <c r="C47" i="3" s="1"/>
  <c r="B47" i="3" s="1"/>
  <c r="D47" i="3" s="1"/>
  <c r="E47" i="3" s="1" a="1"/>
  <c r="E47" i="3" s="1"/>
  <c r="F47" i="3" s="1"/>
  <c r="H47" i="3" l="1"/>
  <c r="G47" i="3"/>
  <c r="I47" i="3"/>
  <c r="C48" i="3" s="1"/>
  <c r="B48" i="3" s="1"/>
  <c r="D48" i="3" s="1"/>
  <c r="E48" i="3" s="1" a="1"/>
  <c r="E48" i="3" s="1"/>
  <c r="F48" i="3" l="1"/>
  <c r="H48" i="3" l="1"/>
  <c r="G48" i="3"/>
  <c r="I48" i="3"/>
  <c r="C49" i="3" s="1"/>
  <c r="B49" i="3" s="1"/>
  <c r="D49" i="3" s="1"/>
  <c r="E49" i="3" s="1" a="1"/>
  <c r="E49" i="3" s="1"/>
  <c r="F49" i="3" l="1"/>
  <c r="H49" i="3" l="1"/>
  <c r="G49" i="3"/>
  <c r="I49" i="3"/>
  <c r="C50" i="3" s="1"/>
  <c r="B50" i="3" s="1"/>
  <c r="D50" i="3" s="1"/>
  <c r="E50" i="3" s="1" a="1"/>
  <c r="E50" i="3" s="1"/>
  <c r="F50" i="3" l="1"/>
  <c r="H50" i="3" l="1"/>
  <c r="I50" i="3" s="1"/>
  <c r="C51" i="3" s="1"/>
  <c r="B51" i="3" s="1"/>
  <c r="D51" i="3" s="1"/>
  <c r="E51" i="3" s="1" a="1"/>
  <c r="E51" i="3" s="1"/>
  <c r="G50" i="3"/>
  <c r="F51" i="3" l="1"/>
  <c r="H51" i="3" l="1"/>
  <c r="I51" i="3" s="1"/>
  <c r="C52" i="3" s="1"/>
  <c r="B52" i="3" s="1"/>
  <c r="D52" i="3" s="1"/>
  <c r="E52" i="3" s="1" a="1"/>
  <c r="E52" i="3" s="1"/>
  <c r="G51" i="3"/>
  <c r="F52" i="3" l="1"/>
  <c r="H52" i="3" l="1"/>
  <c r="G52" i="3"/>
  <c r="I52" i="3"/>
  <c r="C53" i="3" s="1"/>
  <c r="B53" i="3" s="1"/>
  <c r="D53" i="3" s="1"/>
  <c r="E53" i="3" s="1" a="1"/>
  <c r="E53" i="3" s="1"/>
  <c r="F53" i="3" l="1"/>
  <c r="H53" i="3" l="1"/>
  <c r="I53" i="3" s="1"/>
  <c r="C54" i="3" s="1"/>
  <c r="B54" i="3" s="1"/>
  <c r="D54" i="3" s="1"/>
  <c r="E54" i="3" s="1" a="1"/>
  <c r="E54" i="3" s="1"/>
  <c r="G53" i="3"/>
  <c r="F54" i="3" l="1"/>
  <c r="H54" i="3" l="1"/>
  <c r="G54" i="3"/>
  <c r="I54" i="3" l="1"/>
  <c r="C55" i="3" s="1"/>
  <c r="B55" i="3" s="1"/>
  <c r="D55" i="3" s="1"/>
  <c r="E55" i="3" s="1" a="1"/>
  <c r="E55" i="3" s="1"/>
  <c r="F55" i="3" s="1"/>
  <c r="H55" i="3" l="1"/>
  <c r="I55" i="3" s="1"/>
  <c r="C56" i="3" s="1"/>
  <c r="B56" i="3" s="1"/>
  <c r="D56" i="3" s="1"/>
  <c r="E56" i="3" s="1" a="1"/>
  <c r="E56" i="3" s="1"/>
  <c r="G55" i="3"/>
  <c r="F56" i="3" l="1"/>
  <c r="H56" i="3" l="1"/>
  <c r="G56" i="3"/>
  <c r="I56" i="3"/>
  <c r="C57" i="3" s="1"/>
  <c r="B57" i="3" s="1"/>
  <c r="D57" i="3" s="1"/>
  <c r="E57" i="3" s="1" a="1"/>
  <c r="E57" i="3" s="1"/>
  <c r="F57" i="3" l="1"/>
  <c r="H57" i="3" l="1"/>
  <c r="G57" i="3"/>
  <c r="I57" i="3"/>
  <c r="C58" i="3" s="1"/>
  <c r="B58" i="3" s="1"/>
  <c r="D58" i="3" s="1"/>
  <c r="E58" i="3" s="1" a="1"/>
  <c r="E58" i="3" s="1"/>
  <c r="F58" i="3" l="1"/>
  <c r="H58" i="3" l="1"/>
  <c r="G58" i="3"/>
  <c r="I58" i="3"/>
  <c r="C59" i="3" s="1"/>
  <c r="B59" i="3" s="1"/>
  <c r="D59" i="3" s="1"/>
  <c r="E59" i="3" s="1" a="1"/>
  <c r="E59" i="3" s="1"/>
  <c r="F59" i="3" l="1"/>
  <c r="H59" i="3" l="1"/>
  <c r="G59" i="3"/>
  <c r="I59" i="3"/>
  <c r="C60" i="3" s="1"/>
  <c r="B60" i="3" s="1"/>
  <c r="D60" i="3" s="1"/>
  <c r="E60" i="3" s="1" a="1"/>
  <c r="E60" i="3" s="1"/>
  <c r="F60" i="3" l="1"/>
  <c r="H60" i="3" l="1"/>
  <c r="I60" i="3" s="1"/>
  <c r="C61" i="3" s="1"/>
  <c r="B61" i="3" s="1"/>
  <c r="D61" i="3" s="1"/>
  <c r="E61" i="3" s="1" a="1"/>
  <c r="E61" i="3" s="1"/>
  <c r="G60" i="3"/>
  <c r="F61" i="3" l="1"/>
  <c r="H61" i="3" l="1"/>
  <c r="G61" i="3"/>
  <c r="I61" i="3"/>
  <c r="C62" i="3" s="1"/>
  <c r="B62" i="3" s="1"/>
  <c r="D62" i="3" s="1"/>
  <c r="E62" i="3" s="1" a="1"/>
  <c r="E62" i="3" s="1"/>
  <c r="F62" i="3" l="1"/>
  <c r="H62" i="3" l="1"/>
  <c r="I62" i="3" s="1"/>
  <c r="C63" i="3" s="1"/>
  <c r="B63" i="3" s="1"/>
  <c r="D63" i="3" s="1"/>
  <c r="E63" i="3" s="1" a="1"/>
  <c r="E63" i="3" s="1"/>
  <c r="G62" i="3"/>
  <c r="F63" i="3" l="1"/>
  <c r="H63" i="3" l="1"/>
  <c r="G63" i="3"/>
  <c r="I63" i="3"/>
  <c r="C64" i="3" s="1"/>
  <c r="B64" i="3" s="1"/>
  <c r="D64" i="3" s="1"/>
  <c r="E64" i="3" s="1" a="1"/>
  <c r="E64" i="3" s="1"/>
  <c r="F64" i="3" l="1"/>
  <c r="H64" i="3" l="1"/>
  <c r="G64" i="3"/>
  <c r="I64" i="3"/>
  <c r="C65" i="3" s="1"/>
  <c r="B65" i="3" s="1"/>
  <c r="D65" i="3" s="1"/>
  <c r="E65" i="3" s="1" a="1"/>
  <c r="E65" i="3" s="1"/>
  <c r="F65" i="3" l="1"/>
  <c r="H65" i="3" l="1"/>
  <c r="G65" i="3"/>
  <c r="I65" i="3"/>
  <c r="C66" i="3" s="1"/>
  <c r="B66" i="3" s="1"/>
  <c r="D66" i="3" s="1"/>
  <c r="E66" i="3" s="1" a="1"/>
  <c r="E66" i="3" s="1"/>
  <c r="F66" i="3" l="1"/>
  <c r="H66" i="3" l="1"/>
  <c r="G66" i="3"/>
  <c r="I66" i="3"/>
  <c r="C67" i="3" s="1"/>
  <c r="B67" i="3" s="1"/>
  <c r="D67" i="3" s="1"/>
  <c r="E67" i="3" s="1" a="1"/>
  <c r="E67" i="3" s="1"/>
  <c r="F67" i="3" l="1"/>
  <c r="H67" i="3" l="1"/>
  <c r="I67" i="3" s="1"/>
  <c r="C68" i="3" s="1"/>
  <c r="B68" i="3" s="1"/>
  <c r="D68" i="3" s="1"/>
  <c r="E68" i="3" s="1" a="1"/>
  <c r="E68" i="3" s="1"/>
  <c r="G67" i="3"/>
  <c r="F68" i="3" l="1"/>
  <c r="H68" i="3" l="1"/>
  <c r="G68" i="3"/>
  <c r="I68" i="3"/>
  <c r="C69" i="3" s="1"/>
  <c r="B69" i="3" s="1"/>
  <c r="D69" i="3" s="1"/>
  <c r="E69" i="3" s="1" a="1"/>
  <c r="E69" i="3" s="1"/>
  <c r="F69" i="3" l="1"/>
  <c r="H69" i="3" l="1"/>
  <c r="G69" i="3"/>
  <c r="I69" i="3"/>
  <c r="C70" i="3" s="1"/>
  <c r="B70" i="3" s="1"/>
  <c r="D70" i="3" s="1"/>
  <c r="E70" i="3" s="1" a="1"/>
  <c r="E70" i="3" s="1"/>
  <c r="F70" i="3" l="1"/>
  <c r="H70" i="3" l="1"/>
  <c r="G70" i="3"/>
  <c r="I70" i="3"/>
  <c r="C71" i="3" s="1"/>
  <c r="B71" i="3" s="1"/>
  <c r="D71" i="3" s="1"/>
  <c r="E71" i="3" s="1" a="1"/>
  <c r="E71" i="3" s="1"/>
  <c r="F71" i="3" l="1"/>
  <c r="H71" i="3" l="1"/>
  <c r="G71" i="3"/>
  <c r="I71" i="3"/>
  <c r="C72" i="3" s="1"/>
  <c r="B72" i="3" s="1"/>
  <c r="D72" i="3" s="1"/>
  <c r="E72" i="3" s="1" a="1"/>
  <c r="E72" i="3" s="1"/>
  <c r="F72" i="3" l="1"/>
  <c r="H72" i="3" l="1"/>
  <c r="I72" i="3" s="1"/>
  <c r="C73" i="3" s="1"/>
  <c r="B73" i="3" s="1"/>
  <c r="D73" i="3" s="1"/>
  <c r="E73" i="3" s="1" a="1"/>
  <c r="E73" i="3" s="1"/>
  <c r="G72" i="3"/>
  <c r="F73" i="3" l="1"/>
  <c r="H73" i="3" l="1"/>
  <c r="G73" i="3"/>
  <c r="I73" i="3"/>
  <c r="C74" i="3" s="1"/>
  <c r="B74" i="3" s="1"/>
  <c r="D74" i="3" s="1"/>
  <c r="E74" i="3" s="1" a="1"/>
  <c r="E74" i="3" s="1"/>
  <c r="F74" i="3" l="1"/>
  <c r="H74" i="3" l="1"/>
  <c r="I74" i="3" s="1"/>
  <c r="C75" i="3" s="1"/>
  <c r="B75" i="3" s="1"/>
  <c r="D75" i="3" s="1"/>
  <c r="E75" i="3" s="1" a="1"/>
  <c r="E75" i="3" s="1"/>
  <c r="G74" i="3"/>
  <c r="F75" i="3" l="1"/>
  <c r="H75" i="3" l="1"/>
  <c r="G75" i="3"/>
  <c r="I75" i="3" l="1"/>
  <c r="C76" i="3" s="1"/>
  <c r="B76" i="3" s="1"/>
  <c r="D76" i="3" s="1"/>
  <c r="E76" i="3" s="1" a="1"/>
  <c r="E76" i="3" s="1"/>
  <c r="F76" i="3" s="1"/>
  <c r="H76" i="3" l="1"/>
  <c r="G76" i="3"/>
  <c r="I76" i="3"/>
  <c r="C77" i="3" s="1"/>
  <c r="B77" i="3" s="1"/>
  <c r="D77" i="3" s="1"/>
  <c r="E77" i="3" s="1" a="1"/>
  <c r="E77" i="3" s="1"/>
  <c r="F77" i="3" l="1"/>
  <c r="H77" i="3" l="1"/>
  <c r="G77" i="3"/>
  <c r="I77" i="3"/>
  <c r="C78" i="3" s="1"/>
  <c r="B78" i="3" s="1"/>
  <c r="D78" i="3" s="1"/>
  <c r="E78" i="3" s="1" a="1"/>
  <c r="E78" i="3" s="1"/>
  <c r="F78" i="3" l="1"/>
  <c r="H78" i="3" l="1"/>
  <c r="G78" i="3"/>
  <c r="I78" i="3"/>
  <c r="C79" i="3" s="1"/>
  <c r="B79" i="3" s="1"/>
  <c r="D79" i="3" s="1"/>
  <c r="E79" i="3" s="1" a="1"/>
  <c r="E79" i="3" s="1"/>
  <c r="F79" i="3" l="1"/>
  <c r="H79" i="3" l="1"/>
  <c r="G79" i="3"/>
  <c r="I79" i="3" l="1"/>
  <c r="C80" i="3" s="1"/>
  <c r="B80" i="3" s="1"/>
  <c r="D80" i="3" s="1"/>
  <c r="E80" i="3" s="1" a="1"/>
  <c r="E80" i="3" s="1"/>
  <c r="F80" i="3" s="1"/>
  <c r="H80" i="3" l="1"/>
  <c r="G80" i="3"/>
  <c r="I80" i="3"/>
  <c r="C81" i="3" s="1"/>
  <c r="B81" i="3" s="1"/>
  <c r="D81" i="3" s="1"/>
  <c r="E81" i="3" s="1" a="1"/>
  <c r="E81" i="3" s="1"/>
  <c r="F81" i="3" l="1"/>
  <c r="H81" i="3" l="1"/>
  <c r="I81" i="3" s="1"/>
  <c r="C82" i="3" s="1"/>
  <c r="B82" i="3" s="1"/>
  <c r="D82" i="3" s="1"/>
  <c r="E82" i="3" s="1" a="1"/>
  <c r="E82" i="3" s="1"/>
  <c r="G81" i="3"/>
  <c r="F82" i="3" l="1"/>
  <c r="H82" i="3" l="1"/>
  <c r="G82" i="3"/>
  <c r="I82" i="3" l="1"/>
  <c r="C83" i="3" s="1"/>
  <c r="B83" i="3" s="1"/>
  <c r="D83" i="3" s="1"/>
  <c r="E83" i="3" s="1" a="1"/>
  <c r="E83" i="3" s="1"/>
  <c r="F83" i="3" s="1"/>
  <c r="H83" i="3" l="1"/>
  <c r="G83" i="3"/>
  <c r="I83" i="3"/>
  <c r="C84" i="3" s="1"/>
  <c r="B84" i="3" s="1"/>
  <c r="D84" i="3" s="1"/>
  <c r="E84" i="3" s="1" a="1"/>
  <c r="E84" i="3" s="1"/>
  <c r="F84" i="3" l="1"/>
  <c r="H84" i="3" l="1"/>
  <c r="G84" i="3"/>
  <c r="I84" i="3"/>
  <c r="C85" i="3" s="1"/>
  <c r="B85" i="3" s="1"/>
  <c r="D85" i="3" s="1"/>
  <c r="E85" i="3" s="1" a="1"/>
  <c r="E85" i="3" s="1"/>
  <c r="F85" i="3" l="1"/>
  <c r="H85" i="3" l="1"/>
  <c r="G85" i="3"/>
  <c r="I85" i="3"/>
  <c r="C86" i="3" s="1"/>
  <c r="B86" i="3" s="1"/>
  <c r="D86" i="3" s="1"/>
  <c r="E86" i="3" s="1" a="1"/>
  <c r="E86" i="3" s="1"/>
  <c r="F86" i="3" l="1"/>
  <c r="H86" i="3" l="1"/>
  <c r="I86" i="3" s="1"/>
  <c r="C87" i="3" s="1"/>
  <c r="B87" i="3" s="1"/>
  <c r="D87" i="3" s="1"/>
  <c r="E87" i="3" s="1" a="1"/>
  <c r="E87" i="3" s="1"/>
  <c r="G86" i="3"/>
  <c r="F87" i="3" l="1"/>
  <c r="H87" i="3" l="1"/>
  <c r="G87" i="3"/>
  <c r="I87" i="3"/>
  <c r="C88" i="3" s="1"/>
  <c r="B88" i="3" s="1"/>
  <c r="D88" i="3" s="1"/>
  <c r="E88" i="3" s="1" a="1"/>
  <c r="E88" i="3" s="1"/>
  <c r="F88" i="3" l="1"/>
  <c r="H88" i="3" l="1"/>
  <c r="G88" i="3"/>
  <c r="I88" i="3" l="1"/>
  <c r="C89" i="3" s="1"/>
  <c r="B89" i="3" s="1"/>
  <c r="D89" i="3" s="1"/>
  <c r="E89" i="3" s="1" a="1"/>
  <c r="E89" i="3" s="1"/>
  <c r="F89" i="3" s="1"/>
  <c r="H89" i="3" l="1"/>
  <c r="G89" i="3"/>
  <c r="I89" i="3"/>
  <c r="C90" i="3" s="1"/>
  <c r="B90" i="3" s="1"/>
  <c r="D90" i="3" s="1"/>
  <c r="E90" i="3" s="1" a="1"/>
  <c r="E90" i="3" s="1"/>
  <c r="F90" i="3" l="1"/>
  <c r="H90" i="3" l="1"/>
  <c r="G90" i="3"/>
  <c r="I90" i="3"/>
  <c r="C91" i="3" s="1"/>
  <c r="B91" i="3" s="1"/>
  <c r="D91" i="3" s="1"/>
  <c r="E91" i="3" s="1" a="1"/>
  <c r="E91" i="3" s="1"/>
  <c r="F91" i="3" l="1"/>
  <c r="H91" i="3" l="1"/>
  <c r="G91" i="3"/>
  <c r="I91" i="3"/>
  <c r="C92" i="3" s="1"/>
  <c r="B92" i="3" s="1"/>
  <c r="D92" i="3" s="1"/>
  <c r="E92" i="3" s="1" a="1"/>
  <c r="E92" i="3" s="1"/>
  <c r="F92" i="3" l="1"/>
  <c r="H92" i="3" l="1"/>
  <c r="G92" i="3"/>
  <c r="I92" i="3"/>
  <c r="C93" i="3" s="1"/>
  <c r="B93" i="3" s="1"/>
  <c r="D93" i="3" s="1"/>
  <c r="E93" i="3" s="1" a="1"/>
  <c r="E93" i="3" s="1"/>
  <c r="F93" i="3" l="1"/>
  <c r="H93" i="3" l="1"/>
  <c r="G93" i="3"/>
  <c r="I93" i="3"/>
  <c r="C94" i="3" s="1"/>
  <c r="B94" i="3" s="1"/>
  <c r="D94" i="3" s="1"/>
  <c r="E94" i="3" s="1" a="1"/>
  <c r="E94" i="3" s="1"/>
  <c r="F94" i="3" l="1"/>
  <c r="H94" i="3" l="1"/>
  <c r="G94" i="3"/>
  <c r="I94" i="3"/>
  <c r="C95" i="3" s="1"/>
  <c r="B95" i="3" s="1"/>
  <c r="D95" i="3" s="1"/>
  <c r="E95" i="3" s="1" a="1"/>
  <c r="E95" i="3" s="1"/>
  <c r="F95" i="3" l="1"/>
  <c r="H95" i="3" l="1"/>
  <c r="G95" i="3"/>
  <c r="I95" i="3"/>
  <c r="C96" i="3" s="1"/>
  <c r="B96" i="3" s="1"/>
  <c r="D96" i="3" s="1"/>
  <c r="E96" i="3" s="1" a="1"/>
  <c r="E96" i="3" s="1"/>
  <c r="F96" i="3" l="1"/>
  <c r="H96" i="3" l="1"/>
  <c r="G96" i="3"/>
  <c r="I96" i="3"/>
  <c r="C97" i="3" s="1"/>
  <c r="B97" i="3" s="1"/>
  <c r="D97" i="3" s="1"/>
  <c r="E97" i="3" s="1" a="1"/>
  <c r="E97" i="3" s="1"/>
  <c r="F97" i="3" l="1"/>
  <c r="H97" i="3" l="1"/>
  <c r="G97" i="3"/>
  <c r="I97" i="3"/>
  <c r="C98" i="3" s="1"/>
  <c r="B98" i="3" s="1"/>
  <c r="D98" i="3" s="1"/>
  <c r="E98" i="3" s="1" a="1"/>
  <c r="E98" i="3" s="1"/>
  <c r="F98" i="3" l="1"/>
  <c r="H98" i="3" l="1"/>
  <c r="G98" i="3"/>
  <c r="I98" i="3"/>
  <c r="C99" i="3" s="1"/>
  <c r="B99" i="3" s="1"/>
  <c r="D99" i="3" s="1"/>
  <c r="E99" i="3" s="1" a="1"/>
  <c r="E99" i="3" s="1"/>
  <c r="F99" i="3" l="1"/>
  <c r="H99" i="3" l="1"/>
  <c r="G99" i="3"/>
  <c r="I99" i="3"/>
  <c r="C100" i="3" s="1"/>
  <c r="B100" i="3" s="1"/>
  <c r="D100" i="3" s="1"/>
  <c r="E100" i="3" s="1" a="1"/>
  <c r="E100" i="3" s="1"/>
  <c r="F100" i="3" l="1"/>
  <c r="H100" i="3" l="1"/>
  <c r="G100" i="3"/>
  <c r="I100" i="3"/>
  <c r="C101" i="3" s="1"/>
  <c r="B101" i="3" s="1"/>
  <c r="D101" i="3" s="1"/>
  <c r="E101" i="3" s="1" a="1"/>
  <c r="E101" i="3" s="1"/>
  <c r="F101" i="3" l="1"/>
  <c r="H101" i="3" l="1"/>
  <c r="G101" i="3"/>
  <c r="I101" i="3"/>
  <c r="C102" i="3" s="1"/>
  <c r="B102" i="3" s="1"/>
  <c r="D102" i="3" s="1"/>
  <c r="E102" i="3" s="1" a="1"/>
  <c r="E102" i="3" s="1"/>
  <c r="F102" i="3" l="1"/>
  <c r="H102" i="3" l="1"/>
  <c r="G102" i="3"/>
  <c r="I102" i="3"/>
  <c r="C103" i="3" s="1"/>
  <c r="B103" i="3" s="1"/>
  <c r="D103" i="3" s="1"/>
  <c r="E103" i="3" s="1" a="1"/>
  <c r="E103" i="3" s="1"/>
  <c r="F103" i="3" l="1"/>
  <c r="H103" i="3" l="1"/>
  <c r="I103" i="3" s="1"/>
  <c r="C104" i="3" s="1"/>
  <c r="B104" i="3" s="1"/>
  <c r="D104" i="3" s="1"/>
  <c r="E104" i="3" s="1" a="1"/>
  <c r="E104" i="3" s="1"/>
  <c r="G103" i="3"/>
  <c r="F104" i="3" l="1"/>
  <c r="H104" i="3" l="1"/>
  <c r="G104" i="3"/>
  <c r="I104" i="3"/>
  <c r="C105" i="3" s="1"/>
  <c r="B105" i="3" s="1"/>
  <c r="D105" i="3" s="1"/>
  <c r="E105" i="3" s="1" a="1"/>
  <c r="E105" i="3" s="1"/>
  <c r="F105" i="3" l="1"/>
  <c r="H105" i="3" l="1"/>
  <c r="G105" i="3"/>
  <c r="I105" i="3"/>
  <c r="C106" i="3" s="1"/>
  <c r="B106" i="3" s="1"/>
  <c r="D106" i="3" s="1"/>
  <c r="E106" i="3" s="1" a="1"/>
  <c r="E106" i="3" s="1"/>
  <c r="F106" i="3" l="1"/>
  <c r="H106" i="3" l="1"/>
  <c r="G106" i="3"/>
  <c r="I106" i="3"/>
  <c r="C107" i="3" s="1"/>
  <c r="B107" i="3" s="1"/>
  <c r="D107" i="3" s="1"/>
  <c r="E107" i="3" s="1" a="1"/>
  <c r="E107" i="3" s="1"/>
  <c r="F107" i="3" l="1"/>
  <c r="H107" i="3" l="1"/>
  <c r="G107" i="3"/>
  <c r="I107" i="3"/>
  <c r="C108" i="3" s="1"/>
  <c r="B108" i="3" s="1"/>
  <c r="D108" i="3" s="1"/>
  <c r="E108" i="3" s="1" a="1"/>
  <c r="E108" i="3" s="1"/>
  <c r="F108" i="3" l="1"/>
  <c r="H108" i="3" l="1"/>
  <c r="G108" i="3"/>
  <c r="I108" i="3"/>
  <c r="C109" i="3" s="1"/>
  <c r="B109" i="3" s="1"/>
  <c r="D109" i="3" s="1"/>
  <c r="E109" i="3" s="1" a="1"/>
  <c r="E109" i="3" s="1"/>
  <c r="F109" i="3" l="1"/>
  <c r="H109" i="3" l="1"/>
  <c r="G109" i="3"/>
  <c r="I109" i="3"/>
  <c r="C110" i="3" s="1"/>
  <c r="B110" i="3" s="1"/>
  <c r="D110" i="3" s="1"/>
  <c r="E110" i="3" s="1" a="1"/>
  <c r="E110" i="3" s="1"/>
  <c r="F110" i="3" l="1"/>
  <c r="H110" i="3" l="1"/>
  <c r="G110" i="3"/>
  <c r="I110" i="3"/>
  <c r="C111" i="3" s="1"/>
  <c r="B111" i="3" s="1"/>
  <c r="D111" i="3" s="1"/>
  <c r="E111" i="3" s="1" a="1"/>
  <c r="E111" i="3" s="1"/>
  <c r="F111" i="3" l="1"/>
  <c r="H111" i="3" l="1"/>
  <c r="G111" i="3"/>
  <c r="I111" i="3"/>
  <c r="C112" i="3" s="1"/>
  <c r="B112" i="3" s="1"/>
  <c r="D112" i="3" s="1"/>
  <c r="E112" i="3" s="1" a="1"/>
  <c r="E112" i="3" s="1"/>
  <c r="F112" i="3" l="1"/>
  <c r="H112" i="3" l="1"/>
  <c r="G112" i="3"/>
  <c r="I112" i="3"/>
  <c r="C113" i="3" s="1"/>
  <c r="B113" i="3" s="1"/>
  <c r="D113" i="3" s="1"/>
  <c r="E113" i="3" s="1" a="1"/>
  <c r="E113" i="3" s="1"/>
  <c r="F113" i="3" l="1"/>
  <c r="H113" i="3" l="1"/>
  <c r="G113" i="3"/>
  <c r="I113" i="3"/>
  <c r="C114" i="3" s="1"/>
  <c r="B114" i="3" s="1"/>
  <c r="D114" i="3" s="1"/>
  <c r="E114" i="3" s="1" a="1"/>
  <c r="E114" i="3" s="1"/>
  <c r="F114" i="3" l="1"/>
  <c r="H114" i="3" l="1"/>
  <c r="I114" i="3" s="1"/>
  <c r="C115" i="3" s="1"/>
  <c r="B115" i="3" s="1"/>
  <c r="D115" i="3" s="1"/>
  <c r="E115" i="3" s="1" a="1"/>
  <c r="E115" i="3" s="1"/>
  <c r="G114" i="3"/>
  <c r="F115" i="3" l="1"/>
  <c r="H115" i="3" l="1"/>
  <c r="G115" i="3"/>
  <c r="I115" i="3"/>
  <c r="C116" i="3" s="1"/>
  <c r="B116" i="3" s="1"/>
  <c r="D116" i="3" s="1"/>
  <c r="E116" i="3" s="1" a="1"/>
  <c r="E116" i="3" s="1"/>
  <c r="F116" i="3" l="1"/>
  <c r="H116" i="3" l="1"/>
  <c r="G116" i="3"/>
  <c r="I116" i="3"/>
  <c r="C117" i="3" s="1"/>
  <c r="B117" i="3" s="1"/>
  <c r="D117" i="3" s="1"/>
  <c r="E117" i="3" s="1" a="1"/>
  <c r="E117" i="3" s="1"/>
  <c r="F117" i="3" l="1"/>
  <c r="H117" i="3" l="1"/>
  <c r="G117" i="3"/>
  <c r="I117" i="3"/>
  <c r="C118" i="3" s="1"/>
  <c r="B118" i="3" s="1"/>
  <c r="D118" i="3" s="1"/>
  <c r="E118" i="3" s="1" a="1"/>
  <c r="E118" i="3" s="1"/>
  <c r="F118" i="3" l="1"/>
  <c r="H118" i="3" l="1"/>
  <c r="G118" i="3"/>
  <c r="I118" i="3"/>
  <c r="C119" i="3" s="1"/>
  <c r="B119" i="3" s="1"/>
  <c r="D119" i="3" s="1"/>
  <c r="E119" i="3" s="1" a="1"/>
  <c r="E119" i="3" s="1"/>
  <c r="F119" i="3" l="1"/>
  <c r="H119" i="3" l="1"/>
  <c r="G119" i="3"/>
  <c r="I119" i="3"/>
  <c r="C120" i="3" s="1"/>
  <c r="B120" i="3" s="1"/>
  <c r="D120" i="3" s="1"/>
  <c r="E120" i="3" s="1" a="1"/>
  <c r="E120" i="3" s="1"/>
  <c r="F120" i="3" l="1"/>
  <c r="H120" i="3" l="1"/>
  <c r="G120" i="3"/>
  <c r="I120" i="3"/>
  <c r="C121" i="3" s="1"/>
  <c r="B121" i="3" s="1"/>
  <c r="D121" i="3" s="1"/>
  <c r="E121" i="3" s="1" a="1"/>
  <c r="E121" i="3" s="1"/>
  <c r="F121" i="3" l="1"/>
  <c r="H121" i="3" l="1"/>
  <c r="G121" i="3"/>
  <c r="I121" i="3"/>
  <c r="C122" i="3" s="1"/>
  <c r="B122" i="3" s="1"/>
  <c r="D122" i="3" s="1"/>
  <c r="E122" i="3" s="1" a="1"/>
  <c r="E122" i="3" s="1"/>
  <c r="F122" i="3" l="1"/>
  <c r="H122" i="3" l="1"/>
  <c r="G122" i="3"/>
  <c r="I122" i="3"/>
  <c r="C123" i="3" s="1"/>
  <c r="B123" i="3" s="1"/>
  <c r="D123" i="3" s="1"/>
  <c r="E123" i="3" s="1" a="1"/>
  <c r="E123" i="3" s="1"/>
  <c r="F123" i="3" l="1"/>
  <c r="H123" i="3" l="1"/>
  <c r="I123" i="3" s="1"/>
  <c r="C124" i="3" s="1"/>
  <c r="B124" i="3" s="1"/>
  <c r="D124" i="3" s="1"/>
  <c r="E124" i="3" s="1" a="1"/>
  <c r="E124" i="3" s="1"/>
  <c r="G123" i="3"/>
  <c r="F124" i="3" l="1"/>
  <c r="H124" i="3" l="1"/>
  <c r="G124" i="3"/>
  <c r="I124" i="3"/>
  <c r="C125" i="3" s="1"/>
  <c r="B125" i="3" s="1"/>
  <c r="D125" i="3" s="1"/>
  <c r="E125" i="3" s="1" a="1"/>
  <c r="E125" i="3" s="1"/>
  <c r="F125" i="3" l="1"/>
  <c r="H125" i="3" l="1"/>
  <c r="G125" i="3"/>
  <c r="I125" i="3" l="1"/>
  <c r="C126" i="3" s="1"/>
  <c r="B126" i="3" s="1"/>
  <c r="D126" i="3" s="1"/>
  <c r="E126" i="3" s="1" a="1"/>
  <c r="E126" i="3" s="1"/>
  <c r="F126" i="3" s="1"/>
  <c r="H126" i="3" l="1"/>
  <c r="G126" i="3"/>
  <c r="I126" i="3"/>
  <c r="C127" i="3" s="1"/>
  <c r="B127" i="3" s="1"/>
  <c r="D127" i="3" s="1"/>
  <c r="E127" i="3" s="1" a="1"/>
  <c r="E127" i="3" s="1"/>
  <c r="F127" i="3" l="1"/>
  <c r="H127" i="3" l="1"/>
  <c r="G127" i="3"/>
  <c r="I127" i="3"/>
  <c r="C128" i="3" s="1"/>
  <c r="B128" i="3" s="1"/>
  <c r="D128" i="3" s="1"/>
  <c r="E128" i="3" s="1" a="1"/>
  <c r="E128" i="3" s="1"/>
  <c r="F128" i="3" l="1"/>
  <c r="H128" i="3" l="1"/>
  <c r="G128" i="3"/>
  <c r="I128" i="3"/>
  <c r="C129" i="3" s="1"/>
  <c r="B129" i="3" s="1"/>
  <c r="D129" i="3" s="1"/>
  <c r="E129" i="3" s="1" a="1"/>
  <c r="E129" i="3" s="1"/>
  <c r="F129" i="3" l="1"/>
  <c r="H129" i="3" l="1"/>
  <c r="I129" i="3" s="1"/>
  <c r="C130" i="3" s="1"/>
  <c r="B130" i="3" s="1"/>
  <c r="D130" i="3" s="1"/>
  <c r="E130" i="3" s="1" a="1"/>
  <c r="E130" i="3" s="1"/>
  <c r="G129" i="3"/>
  <c r="F130" i="3" l="1"/>
  <c r="H130" i="3" l="1"/>
  <c r="G130" i="3"/>
  <c r="I130" i="3"/>
  <c r="C131" i="3" s="1"/>
  <c r="B131" i="3" s="1"/>
  <c r="D131" i="3" s="1"/>
  <c r="E131" i="3" s="1" a="1"/>
  <c r="E131" i="3" s="1"/>
  <c r="F131" i="3" l="1"/>
  <c r="H131" i="3" l="1"/>
  <c r="G131" i="3"/>
  <c r="I131" i="3"/>
  <c r="C132" i="3" s="1"/>
  <c r="B132" i="3" s="1"/>
  <c r="D132" i="3" s="1"/>
  <c r="E132" i="3" s="1" a="1"/>
  <c r="E132" i="3" s="1"/>
  <c r="F132" i="3" l="1"/>
  <c r="H132" i="3" l="1"/>
  <c r="G132" i="3"/>
  <c r="I132" i="3"/>
  <c r="C133" i="3" s="1"/>
  <c r="B133" i="3" s="1"/>
  <c r="D133" i="3" s="1"/>
  <c r="E133" i="3" s="1" a="1"/>
  <c r="E133" i="3" s="1"/>
  <c r="F133" i="3" l="1"/>
  <c r="H133" i="3" l="1"/>
  <c r="G133" i="3"/>
  <c r="I133" i="3"/>
  <c r="C134" i="3" s="1"/>
  <c r="B134" i="3" s="1"/>
  <c r="D134" i="3" s="1"/>
  <c r="E134" i="3" s="1" a="1"/>
  <c r="E134" i="3" s="1"/>
  <c r="F134" i="3" l="1"/>
  <c r="H134" i="3" l="1"/>
  <c r="G134" i="3"/>
  <c r="I134" i="3"/>
  <c r="C135" i="3" s="1"/>
  <c r="B135" i="3" s="1"/>
  <c r="D135" i="3" s="1"/>
  <c r="E135" i="3" s="1" a="1"/>
  <c r="E135" i="3" s="1"/>
  <c r="F135" i="3" l="1"/>
  <c r="H135" i="3" l="1"/>
  <c r="G135" i="3"/>
  <c r="I135" i="3"/>
  <c r="C136" i="3" s="1"/>
  <c r="B136" i="3" s="1"/>
  <c r="D136" i="3" s="1"/>
  <c r="E136" i="3" s="1" a="1"/>
  <c r="E136" i="3" s="1"/>
  <c r="F136" i="3" l="1"/>
  <c r="H136" i="3" l="1"/>
  <c r="G136" i="3"/>
  <c r="I136" i="3"/>
  <c r="C137" i="3" s="1"/>
  <c r="B137" i="3" s="1"/>
  <c r="D137" i="3" s="1"/>
  <c r="E137" i="3" s="1" a="1"/>
  <c r="E137" i="3" s="1"/>
  <c r="F137" i="3" l="1"/>
  <c r="H137" i="3" l="1"/>
  <c r="G137" i="3"/>
  <c r="I137" i="3"/>
  <c r="C138" i="3" s="1"/>
  <c r="B138" i="3" s="1"/>
  <c r="D138" i="3" s="1"/>
  <c r="E138" i="3" s="1" a="1"/>
  <c r="E138" i="3" s="1"/>
  <c r="F138" i="3" l="1"/>
  <c r="H138" i="3" l="1"/>
  <c r="G138" i="3"/>
  <c r="I138" i="3"/>
  <c r="C139" i="3" s="1"/>
  <c r="B139" i="3" s="1"/>
  <c r="D139" i="3" s="1"/>
  <c r="E139" i="3" s="1" a="1"/>
  <c r="E139" i="3" s="1"/>
  <c r="F139" i="3" l="1"/>
  <c r="H139" i="3" l="1"/>
  <c r="G139" i="3"/>
  <c r="I139" i="3"/>
  <c r="C140" i="3" s="1"/>
  <c r="B140" i="3" s="1"/>
  <c r="D140" i="3" s="1"/>
  <c r="E140" i="3" s="1" a="1"/>
  <c r="E140" i="3" s="1"/>
  <c r="F140" i="3" l="1"/>
  <c r="H140" i="3" l="1"/>
  <c r="G140" i="3"/>
  <c r="I140" i="3"/>
  <c r="C141" i="3" s="1"/>
  <c r="B141" i="3" s="1"/>
  <c r="D141" i="3" s="1"/>
  <c r="E141" i="3" s="1" a="1"/>
  <c r="E141" i="3" s="1"/>
  <c r="F141" i="3" l="1"/>
  <c r="H141" i="3" l="1"/>
  <c r="G141" i="3"/>
  <c r="I141" i="3"/>
  <c r="C142" i="3" s="1"/>
  <c r="B142" i="3" s="1"/>
  <c r="D142" i="3" s="1"/>
  <c r="E142" i="3" s="1" a="1"/>
  <c r="E142" i="3" s="1"/>
  <c r="F142" i="3" l="1"/>
  <c r="H142" i="3" l="1"/>
  <c r="I142" i="3" s="1"/>
  <c r="C143" i="3" s="1"/>
  <c r="B143" i="3" s="1"/>
  <c r="D143" i="3" s="1"/>
  <c r="E143" i="3" s="1" a="1"/>
  <c r="E143" i="3" s="1"/>
  <c r="G142" i="3"/>
  <c r="F143" i="3" l="1"/>
  <c r="H143" i="3" l="1"/>
  <c r="G143" i="3"/>
  <c r="I143" i="3"/>
  <c r="C144" i="3" s="1"/>
  <c r="B144" i="3" s="1"/>
  <c r="D144" i="3" s="1"/>
  <c r="E144" i="3" s="1" a="1"/>
  <c r="E144" i="3" s="1"/>
  <c r="F144" i="3" l="1"/>
  <c r="H144" i="3" l="1"/>
  <c r="G144" i="3"/>
  <c r="I144" i="3" l="1"/>
  <c r="C145" i="3" s="1"/>
  <c r="B145" i="3" s="1"/>
  <c r="D145" i="3" s="1"/>
  <c r="E145" i="3" s="1" a="1"/>
  <c r="E145" i="3" s="1"/>
  <c r="F145" i="3" s="1"/>
  <c r="H145" i="3" l="1"/>
  <c r="G145" i="3"/>
  <c r="I145" i="3"/>
  <c r="C146" i="3" s="1"/>
  <c r="B146" i="3" s="1"/>
  <c r="D146" i="3" s="1"/>
  <c r="E146" i="3" s="1" a="1"/>
  <c r="E146" i="3" s="1"/>
  <c r="F146" i="3" l="1"/>
  <c r="H146" i="3" l="1"/>
  <c r="G146" i="3"/>
  <c r="I146" i="3"/>
  <c r="C147" i="3" s="1"/>
  <c r="B147" i="3" s="1"/>
  <c r="D147" i="3" s="1"/>
  <c r="E147" i="3" s="1" a="1"/>
  <c r="E147" i="3" s="1"/>
  <c r="F147" i="3" l="1"/>
  <c r="H147" i="3" l="1"/>
  <c r="G147" i="3"/>
  <c r="I147" i="3"/>
  <c r="C148" i="3" s="1"/>
  <c r="B148" i="3" s="1"/>
  <c r="D148" i="3" s="1"/>
  <c r="E148" i="3" s="1" a="1"/>
  <c r="E148" i="3" s="1"/>
  <c r="F148" i="3" l="1"/>
  <c r="H148" i="3" l="1"/>
  <c r="G148" i="3"/>
  <c r="I148" i="3"/>
  <c r="C149" i="3" s="1"/>
  <c r="B149" i="3" s="1"/>
  <c r="D149" i="3" s="1"/>
  <c r="E149" i="3" s="1" a="1"/>
  <c r="E149" i="3" s="1"/>
  <c r="F149" i="3" l="1"/>
  <c r="H149" i="3" l="1"/>
  <c r="G149" i="3"/>
  <c r="I149" i="3"/>
  <c r="C150" i="3" s="1"/>
  <c r="B150" i="3" s="1"/>
  <c r="D150" i="3" s="1"/>
  <c r="E150" i="3" s="1" a="1"/>
  <c r="E150" i="3" s="1"/>
  <c r="F150" i="3" l="1"/>
  <c r="H150" i="3" l="1"/>
  <c r="G150" i="3"/>
  <c r="I150" i="3"/>
  <c r="C151" i="3" s="1"/>
  <c r="B151" i="3" s="1"/>
  <c r="D151" i="3" s="1"/>
  <c r="E151" i="3" s="1" a="1"/>
  <c r="E151" i="3" s="1"/>
  <c r="F151" i="3" l="1"/>
  <c r="H151" i="3" l="1"/>
  <c r="I151" i="3" s="1"/>
  <c r="C152" i="3" s="1"/>
  <c r="B152" i="3" s="1"/>
  <c r="D152" i="3" s="1"/>
  <c r="E152" i="3" s="1" a="1"/>
  <c r="E152" i="3" s="1"/>
  <c r="G151" i="3"/>
  <c r="F152" i="3" l="1"/>
  <c r="H152" i="3" l="1"/>
  <c r="G152" i="3"/>
  <c r="I152" i="3"/>
  <c r="C153" i="3" s="1"/>
  <c r="B153" i="3" s="1"/>
  <c r="D153" i="3" s="1"/>
  <c r="E153" i="3" s="1" a="1"/>
  <c r="E153" i="3" s="1"/>
  <c r="F153" i="3" l="1"/>
  <c r="H153" i="3" l="1"/>
  <c r="G153" i="3"/>
  <c r="I153" i="3"/>
  <c r="C154" i="3" s="1"/>
  <c r="B154" i="3" s="1"/>
  <c r="D154" i="3" s="1"/>
  <c r="E154" i="3" s="1" a="1"/>
  <c r="E154" i="3" s="1"/>
  <c r="F154" i="3" l="1"/>
  <c r="H154" i="3" l="1"/>
  <c r="G154" i="3"/>
  <c r="I154" i="3"/>
  <c r="C155" i="3" s="1"/>
  <c r="B155" i="3" s="1"/>
  <c r="D155" i="3" s="1"/>
  <c r="E155" i="3" s="1" a="1"/>
  <c r="E155" i="3" s="1"/>
  <c r="F155" i="3" l="1"/>
  <c r="H155" i="3" l="1"/>
  <c r="G155" i="3"/>
  <c r="I155" i="3"/>
  <c r="C156" i="3" s="1"/>
  <c r="B156" i="3" s="1"/>
  <c r="D156" i="3" s="1"/>
  <c r="E156" i="3" s="1" a="1"/>
  <c r="E156" i="3" s="1"/>
  <c r="F156" i="3" l="1"/>
  <c r="H156" i="3" l="1"/>
  <c r="G156" i="3"/>
  <c r="I156" i="3"/>
  <c r="C157" i="3" s="1"/>
  <c r="B157" i="3" s="1"/>
  <c r="D157" i="3" s="1"/>
  <c r="E157" i="3" s="1" a="1"/>
  <c r="E157" i="3" s="1"/>
  <c r="F157" i="3" l="1"/>
  <c r="H157" i="3" l="1"/>
  <c r="G157" i="3"/>
  <c r="I157" i="3"/>
  <c r="C158" i="3" s="1"/>
  <c r="B158" i="3" s="1"/>
  <c r="D158" i="3" s="1"/>
  <c r="E158" i="3" s="1" a="1"/>
  <c r="E158" i="3" s="1"/>
  <c r="F158" i="3" l="1"/>
  <c r="H158" i="3" l="1"/>
  <c r="G158" i="3"/>
  <c r="I158" i="3"/>
  <c r="C159" i="3" s="1"/>
  <c r="B159" i="3" s="1"/>
  <c r="D159" i="3" s="1"/>
  <c r="E159" i="3" s="1" a="1"/>
  <c r="E159" i="3" s="1"/>
  <c r="F159" i="3" l="1"/>
  <c r="H159" i="3" l="1"/>
  <c r="G159" i="3"/>
  <c r="I159" i="3"/>
  <c r="C160" i="3" s="1"/>
  <c r="B160" i="3" s="1"/>
  <c r="D160" i="3" s="1"/>
  <c r="E160" i="3" s="1" a="1"/>
  <c r="E160" i="3" s="1"/>
  <c r="F160" i="3" l="1"/>
  <c r="H160" i="3" l="1"/>
  <c r="G160" i="3"/>
  <c r="I160" i="3"/>
  <c r="C161" i="3" s="1"/>
  <c r="B161" i="3" s="1"/>
  <c r="D161" i="3" s="1"/>
  <c r="E161" i="3" s="1" a="1"/>
  <c r="E161" i="3" s="1"/>
  <c r="F161" i="3" l="1"/>
  <c r="H161" i="3" l="1"/>
  <c r="G161" i="3"/>
  <c r="I161" i="3"/>
  <c r="C162" i="3" s="1"/>
  <c r="B162" i="3" s="1"/>
  <c r="D162" i="3" s="1"/>
  <c r="E162" i="3" s="1" a="1"/>
  <c r="E162" i="3" s="1"/>
  <c r="F162" i="3" l="1"/>
  <c r="H162" i="3" l="1"/>
  <c r="G162" i="3"/>
  <c r="I162" i="3"/>
  <c r="C163" i="3" s="1"/>
  <c r="B163" i="3" s="1"/>
  <c r="D163" i="3" s="1"/>
  <c r="E163" i="3" s="1" a="1"/>
  <c r="E163" i="3" s="1"/>
  <c r="F163" i="3" l="1"/>
  <c r="H163" i="3" l="1"/>
  <c r="G163" i="3"/>
  <c r="I163" i="3"/>
  <c r="C164" i="3" s="1"/>
  <c r="B164" i="3" s="1"/>
  <c r="D164" i="3" s="1"/>
  <c r="E164" i="3" s="1" a="1"/>
  <c r="E164" i="3" s="1"/>
  <c r="F164" i="3" l="1"/>
  <c r="H164" i="3" l="1"/>
  <c r="G164" i="3"/>
  <c r="I164" i="3"/>
  <c r="C165" i="3" s="1"/>
  <c r="B165" i="3" s="1"/>
  <c r="D165" i="3" s="1"/>
  <c r="E165" i="3" s="1" a="1"/>
  <c r="E165" i="3" s="1"/>
  <c r="F165" i="3" l="1"/>
  <c r="H165" i="3" l="1"/>
  <c r="G165" i="3"/>
  <c r="I165" i="3"/>
  <c r="C166" i="3" s="1"/>
  <c r="B166" i="3" s="1"/>
  <c r="D166" i="3" s="1"/>
  <c r="E166" i="3" s="1" a="1"/>
  <c r="E166" i="3" s="1"/>
  <c r="F166" i="3" l="1"/>
  <c r="H166" i="3" l="1"/>
  <c r="I166" i="3" s="1"/>
  <c r="C167" i="3" s="1"/>
  <c r="B167" i="3" s="1"/>
  <c r="D167" i="3" s="1"/>
  <c r="E167" i="3" s="1" a="1"/>
  <c r="E167" i="3" s="1"/>
  <c r="G166" i="3"/>
  <c r="F167" i="3" l="1"/>
  <c r="H167" i="3" l="1"/>
  <c r="G167" i="3"/>
  <c r="I167" i="3"/>
  <c r="C168" i="3" s="1"/>
  <c r="B168" i="3" s="1"/>
  <c r="D168" i="3" s="1"/>
  <c r="E168" i="3" s="1" a="1"/>
  <c r="E168" i="3" s="1"/>
  <c r="F168" i="3" l="1"/>
  <c r="H168" i="3" l="1"/>
  <c r="I168" i="3" s="1"/>
  <c r="C169" i="3" s="1"/>
  <c r="B169" i="3" s="1"/>
  <c r="D169" i="3" s="1"/>
  <c r="E169" i="3" s="1" a="1"/>
  <c r="E169" i="3" s="1"/>
  <c r="G168" i="3"/>
  <c r="F169" i="3" l="1"/>
  <c r="H169" i="3" l="1"/>
  <c r="G169" i="3"/>
  <c r="I169" i="3"/>
  <c r="C170" i="3" s="1"/>
  <c r="B170" i="3" s="1"/>
  <c r="D170" i="3" s="1"/>
  <c r="E170" i="3" s="1" a="1"/>
  <c r="E170" i="3" s="1"/>
  <c r="F170" i="3" l="1"/>
  <c r="H170" i="3" l="1"/>
  <c r="G170" i="3"/>
  <c r="I170" i="3" l="1"/>
  <c r="C171" i="3" s="1"/>
  <c r="B171" i="3" s="1"/>
  <c r="D171" i="3" s="1"/>
  <c r="E171" i="3" s="1" a="1"/>
  <c r="E171" i="3" s="1"/>
  <c r="F171" i="3" s="1"/>
  <c r="H171" i="3" l="1"/>
  <c r="G171" i="3"/>
  <c r="I171" i="3" l="1"/>
  <c r="C172" i="3" s="1"/>
  <c r="B172" i="3" s="1"/>
  <c r="D172" i="3" s="1"/>
  <c r="E172" i="3" s="1" a="1"/>
  <c r="E172" i="3" s="1"/>
  <c r="F172" i="3" s="1"/>
  <c r="H172" i="3" l="1"/>
  <c r="G172" i="3"/>
  <c r="I172" i="3"/>
  <c r="C173" i="3" s="1"/>
  <c r="B173" i="3" s="1"/>
  <c r="D173" i="3" s="1"/>
  <c r="E173" i="3" s="1" a="1"/>
  <c r="E173" i="3" s="1"/>
  <c r="F173" i="3" l="1"/>
  <c r="H173" i="3" l="1"/>
  <c r="G173" i="3"/>
  <c r="I173" i="3"/>
  <c r="C174" i="3" s="1"/>
  <c r="B174" i="3" s="1"/>
  <c r="D174" i="3" s="1"/>
  <c r="E174" i="3" s="1" a="1"/>
  <c r="E174" i="3" s="1"/>
  <c r="F174" i="3" l="1"/>
  <c r="H174" i="3" l="1"/>
  <c r="I174" i="3" s="1"/>
  <c r="C175" i="3" s="1"/>
  <c r="B175" i="3" s="1"/>
  <c r="D175" i="3" s="1"/>
  <c r="E175" i="3" s="1" a="1"/>
  <c r="E175" i="3" s="1"/>
  <c r="G174" i="3"/>
  <c r="F175" i="3" l="1"/>
  <c r="H175" i="3" l="1"/>
  <c r="G175" i="3"/>
  <c r="I175" i="3"/>
  <c r="C176" i="3" s="1"/>
  <c r="B176" i="3" s="1"/>
  <c r="D176" i="3" s="1"/>
  <c r="E176" i="3" s="1" a="1"/>
  <c r="E176" i="3" s="1"/>
  <c r="F176" i="3" l="1"/>
  <c r="H176" i="3" l="1"/>
  <c r="G176" i="3"/>
  <c r="I176" i="3"/>
  <c r="C177" i="3" s="1"/>
  <c r="B177" i="3" s="1"/>
  <c r="D177" i="3" s="1"/>
  <c r="E177" i="3" s="1" a="1"/>
  <c r="E177" i="3" s="1"/>
  <c r="F177" i="3" l="1"/>
  <c r="H177" i="3" l="1"/>
  <c r="G177" i="3"/>
  <c r="I177" i="3"/>
  <c r="C178" i="3" s="1"/>
  <c r="B178" i="3" s="1"/>
  <c r="D178" i="3" s="1"/>
  <c r="E178" i="3" s="1" a="1"/>
  <c r="E178" i="3" s="1"/>
  <c r="F178" i="3" l="1"/>
  <c r="H178" i="3" l="1"/>
  <c r="G178" i="3"/>
  <c r="I178" i="3" l="1"/>
  <c r="C179" i="3" s="1"/>
  <c r="B179" i="3" s="1"/>
  <c r="D179" i="3" s="1"/>
  <c r="E179" i="3" s="1" a="1"/>
  <c r="E179" i="3" s="1"/>
  <c r="F179" i="3" s="1"/>
  <c r="H179" i="3" l="1"/>
  <c r="G179" i="3"/>
  <c r="I179" i="3"/>
  <c r="C180" i="3" s="1"/>
  <c r="B180" i="3" s="1"/>
  <c r="D180" i="3" s="1"/>
  <c r="E180" i="3" s="1" a="1"/>
  <c r="E180" i="3" s="1"/>
  <c r="F180" i="3" l="1"/>
  <c r="H180" i="3" l="1"/>
  <c r="G180" i="3"/>
  <c r="I180" i="3"/>
  <c r="C181" i="3" s="1"/>
  <c r="B181" i="3" s="1"/>
  <c r="D181" i="3" s="1"/>
  <c r="E181" i="3" s="1" a="1"/>
  <c r="E181" i="3" s="1"/>
  <c r="F181" i="3" l="1"/>
  <c r="H181" i="3" l="1"/>
  <c r="G181" i="3"/>
  <c r="I181" i="3"/>
  <c r="C182" i="3" s="1"/>
  <c r="B182" i="3" s="1"/>
  <c r="D182" i="3" s="1"/>
  <c r="E182" i="3" s="1" a="1"/>
  <c r="E182" i="3" s="1"/>
  <c r="F182" i="3" l="1"/>
  <c r="H182" i="3" l="1"/>
  <c r="G182" i="3"/>
  <c r="I182" i="3"/>
  <c r="C183" i="3" s="1"/>
  <c r="B183" i="3" s="1"/>
  <c r="D183" i="3" s="1"/>
  <c r="E183" i="3" s="1" a="1"/>
  <c r="E183" i="3" s="1"/>
  <c r="F183" i="3" l="1"/>
  <c r="H183" i="3" l="1"/>
  <c r="G183" i="3"/>
  <c r="I183" i="3"/>
  <c r="C184" i="3" s="1"/>
  <c r="B184" i="3" s="1"/>
  <c r="D184" i="3" s="1"/>
  <c r="E184" i="3" s="1" a="1"/>
  <c r="E184" i="3" s="1"/>
  <c r="F184" i="3" l="1"/>
  <c r="H184" i="3" l="1"/>
  <c r="I184" i="3" s="1"/>
  <c r="C185" i="3" s="1"/>
  <c r="G184" i="3"/>
  <c r="B185" i="3" l="1"/>
  <c r="D185" i="3" s="1"/>
  <c r="E185" i="3" s="1" a="1"/>
  <c r="E185" i="3" s="1"/>
  <c r="F185" i="3" s="1"/>
  <c r="G185" i="3" s="1"/>
  <c r="H185" i="3" l="1"/>
  <c r="I185" i="3" l="1"/>
  <c r="C186" i="3" s="1"/>
  <c r="B186" i="3" l="1"/>
  <c r="D186" i="3" s="1"/>
  <c r="E186" i="3" s="1" a="1"/>
  <c r="E186" i="3" s="1"/>
  <c r="F186" i="3" s="1"/>
  <c r="G186" i="3" s="1"/>
  <c r="H186" i="3" l="1"/>
  <c r="I186" i="3" l="1"/>
  <c r="C187" i="3" s="1"/>
  <c r="B187" i="3" l="1"/>
  <c r="D187" i="3" s="1"/>
  <c r="E187" i="3" s="1" a="1"/>
  <c r="E187" i="3" s="1"/>
  <c r="F187" i="3" s="1"/>
  <c r="G187" i="3" s="1"/>
  <c r="H187" i="3" l="1"/>
  <c r="I187" i="3" l="1"/>
  <c r="C188" i="3" s="1"/>
  <c r="B188" i="3" l="1"/>
  <c r="D188" i="3" s="1"/>
  <c r="E188" i="3" s="1" a="1"/>
  <c r="E188" i="3" s="1"/>
  <c r="F188" i="3" s="1"/>
  <c r="G188" i="3" s="1"/>
  <c r="H188" i="3" l="1"/>
  <c r="I188" i="3" l="1"/>
  <c r="C189" i="3" s="1"/>
  <c r="B189" i="3" l="1"/>
  <c r="D189" i="3" s="1"/>
  <c r="E189" i="3" s="1" a="1"/>
  <c r="E189" i="3" s="1"/>
  <c r="F189" i="3" s="1"/>
  <c r="G189" i="3" s="1"/>
  <c r="H189" i="3" l="1"/>
  <c r="I189" i="3" l="1"/>
  <c r="C190" i="3" s="1"/>
  <c r="B190" i="3" l="1"/>
  <c r="D190" i="3" s="1"/>
  <c r="E190" i="3" s="1" a="1"/>
  <c r="E190" i="3" s="1"/>
  <c r="F190" i="3" s="1"/>
  <c r="G190" i="3" s="1"/>
  <c r="H190" i="3" l="1"/>
  <c r="I190" i="3" l="1"/>
  <c r="C191" i="3" s="1"/>
  <c r="B191" i="3" l="1"/>
  <c r="D191" i="3" s="1"/>
  <c r="E191" i="3" s="1" a="1"/>
  <c r="E191" i="3" s="1"/>
  <c r="F191" i="3" s="1"/>
  <c r="G191" i="3" s="1"/>
  <c r="H191" i="3" l="1"/>
  <c r="I191" i="3" l="1"/>
  <c r="C192" i="3" s="1"/>
  <c r="B192" i="3" l="1"/>
  <c r="D192" i="3" s="1"/>
  <c r="E192" i="3" s="1" a="1"/>
  <c r="E192" i="3" s="1"/>
  <c r="F192" i="3" s="1"/>
  <c r="G192" i="3" s="1"/>
  <c r="H192" i="3" l="1"/>
  <c r="I192" i="3" l="1"/>
  <c r="C193" i="3" s="1"/>
  <c r="B193" i="3" l="1"/>
  <c r="D193" i="3" s="1"/>
  <c r="E193" i="3" s="1" a="1"/>
  <c r="E193" i="3" s="1"/>
  <c r="F193" i="3" s="1"/>
  <c r="G193" i="3" s="1"/>
  <c r="H193" i="3" l="1"/>
  <c r="I193" i="3" l="1"/>
  <c r="C194" i="3" s="1"/>
  <c r="B194" i="3" l="1"/>
  <c r="D194" i="3" s="1"/>
  <c r="E194" i="3" s="1" a="1"/>
  <c r="E194" i="3" s="1"/>
  <c r="F194" i="3" s="1"/>
  <c r="G194" i="3" s="1"/>
  <c r="H194" i="3" l="1"/>
  <c r="I194" i="3" l="1"/>
  <c r="C195" i="3" s="1"/>
  <c r="B195" i="3" l="1"/>
  <c r="D195" i="3" s="1"/>
  <c r="E195" i="3" s="1" a="1"/>
  <c r="E195" i="3" s="1"/>
  <c r="F195" i="3" s="1"/>
  <c r="G195" i="3" s="1"/>
  <c r="H195" i="3" l="1"/>
  <c r="I195" i="3" l="1"/>
  <c r="C196" i="3" s="1"/>
  <c r="B196" i="3" l="1"/>
  <c r="D196" i="3" s="1"/>
  <c r="E196" i="3" s="1" a="1"/>
  <c r="E196" i="3" s="1"/>
  <c r="F196" i="3" s="1"/>
  <c r="G196" i="3" s="1"/>
  <c r="H196" i="3" l="1"/>
  <c r="I196" i="3" l="1"/>
  <c r="C197" i="3" s="1"/>
  <c r="B197" i="3" l="1"/>
  <c r="D197" i="3" s="1"/>
  <c r="E197" i="3" s="1" a="1"/>
  <c r="E197" i="3" s="1"/>
  <c r="F197" i="3" s="1"/>
  <c r="G197" i="3" s="1"/>
  <c r="H197" i="3" l="1"/>
  <c r="I197" i="3" l="1"/>
  <c r="C198" i="3" s="1"/>
  <c r="B198" i="3" l="1"/>
  <c r="D198" i="3" s="1"/>
  <c r="E198" i="3" s="1" a="1"/>
  <c r="E198" i="3" s="1"/>
  <c r="F198" i="3" s="1"/>
  <c r="G198" i="3" s="1"/>
  <c r="H198" i="3" l="1"/>
  <c r="I198" i="3" l="1"/>
  <c r="C199" i="3" s="1"/>
  <c r="B199" i="3" l="1"/>
  <c r="D199" i="3" s="1"/>
  <c r="E199" i="3" s="1" a="1"/>
  <c r="E199" i="3" s="1"/>
  <c r="F199" i="3" s="1"/>
  <c r="G199" i="3" s="1"/>
  <c r="H199" i="3" l="1"/>
  <c r="I199" i="3" l="1"/>
  <c r="C200" i="3" s="1"/>
  <c r="B200" i="3" l="1"/>
  <c r="D200" i="3" s="1"/>
  <c r="E200" i="3" s="1" a="1"/>
  <c r="E200" i="3" s="1"/>
  <c r="F200" i="3" s="1"/>
  <c r="G200" i="3" s="1"/>
  <c r="H200" i="3" l="1"/>
  <c r="I200" i="3" l="1"/>
  <c r="C201" i="3" s="1"/>
  <c r="B201" i="3" l="1"/>
  <c r="D201" i="3" s="1"/>
  <c r="E201" i="3" s="1" a="1"/>
  <c r="E201" i="3" s="1"/>
  <c r="F201" i="3" s="1"/>
  <c r="G201" i="3" s="1"/>
  <c r="H201" i="3" l="1"/>
  <c r="I201" i="3" l="1"/>
  <c r="C202" i="3" s="1"/>
  <c r="B202" i="3" l="1"/>
  <c r="D202" i="3" s="1"/>
  <c r="E202" i="3" s="1" a="1"/>
  <c r="E202" i="3" s="1"/>
  <c r="F202" i="3" s="1"/>
  <c r="G202" i="3" s="1"/>
  <c r="H202" i="3" l="1"/>
  <c r="I202" i="3" l="1"/>
  <c r="C203" i="3" s="1"/>
  <c r="B203" i="3" l="1"/>
  <c r="D203" i="3" s="1"/>
  <c r="E203" i="3" s="1" a="1"/>
  <c r="E203" i="3" s="1"/>
  <c r="F203" i="3" s="1"/>
  <c r="G203" i="3" s="1"/>
  <c r="H203" i="3" l="1"/>
  <c r="I203" i="3" l="1"/>
  <c r="C204" i="3" s="1"/>
  <c r="B204" i="3" l="1"/>
  <c r="D204" i="3" s="1"/>
  <c r="E204" i="3" s="1" a="1"/>
  <c r="E204" i="3" s="1"/>
  <c r="F204" i="3" s="1"/>
  <c r="G204" i="3" s="1"/>
  <c r="H204" i="3" l="1"/>
  <c r="I204" i="3" l="1"/>
  <c r="C205" i="3" s="1"/>
  <c r="B205" i="3" l="1"/>
  <c r="D205" i="3" s="1"/>
  <c r="E205" i="3" s="1" a="1"/>
  <c r="E205" i="3" s="1"/>
  <c r="F205" i="3" s="1"/>
  <c r="G205" i="3" s="1"/>
  <c r="H205" i="3" l="1"/>
  <c r="I205" i="3" l="1"/>
  <c r="C206" i="3" s="1"/>
  <c r="B206" i="3" l="1"/>
  <c r="D206" i="3" s="1"/>
  <c r="E206" i="3" s="1" a="1"/>
  <c r="E206" i="3" s="1"/>
  <c r="F206" i="3" s="1"/>
  <c r="G206" i="3" s="1"/>
  <c r="H206" i="3" l="1"/>
  <c r="I206" i="3" l="1"/>
  <c r="C207" i="3" s="1"/>
  <c r="B207" i="3" l="1"/>
  <c r="D207" i="3" s="1"/>
  <c r="E207" i="3" s="1" a="1"/>
  <c r="E207" i="3" s="1"/>
  <c r="F207" i="3" s="1"/>
  <c r="G207" i="3" s="1"/>
  <c r="H207" i="3" l="1"/>
  <c r="I207" i="3" l="1"/>
  <c r="C208" i="3" s="1"/>
  <c r="B208" i="3" l="1"/>
  <c r="D208" i="3" s="1"/>
  <c r="E208" i="3" s="1" a="1"/>
  <c r="E208" i="3" s="1"/>
  <c r="F208" i="3" s="1"/>
  <c r="G208" i="3" s="1"/>
  <c r="H208" i="3" l="1"/>
  <c r="I208" i="3" l="1"/>
  <c r="C209" i="3" s="1"/>
  <c r="B209" i="3" l="1"/>
  <c r="D209" i="3" s="1"/>
  <c r="E209" i="3" s="1" a="1"/>
  <c r="E209" i="3" s="1"/>
  <c r="F209" i="3" s="1"/>
  <c r="G209" i="3" s="1"/>
  <c r="H209" i="3" l="1"/>
  <c r="I209" i="3" l="1"/>
  <c r="C210" i="3" s="1"/>
  <c r="B210" i="3" l="1"/>
  <c r="D210" i="3" s="1"/>
  <c r="E210" i="3" s="1" a="1"/>
  <c r="E210" i="3" s="1"/>
  <c r="F210" i="3" s="1"/>
  <c r="G210" i="3" s="1"/>
  <c r="H210" i="3" l="1"/>
  <c r="I210" i="3" l="1"/>
  <c r="C211" i="3" s="1"/>
  <c r="B211" i="3" l="1"/>
  <c r="D211" i="3" s="1"/>
  <c r="E211" i="3" s="1" a="1"/>
  <c r="E211" i="3" s="1"/>
  <c r="F211" i="3" s="1"/>
  <c r="G211" i="3" s="1"/>
  <c r="H211" i="3" l="1"/>
  <c r="I211" i="3" l="1"/>
  <c r="C212" i="3" s="1"/>
  <c r="B212" i="3" l="1"/>
  <c r="D212" i="3" s="1"/>
  <c r="E212" i="3" s="1" a="1"/>
  <c r="E212" i="3" s="1"/>
  <c r="F212" i="3" s="1"/>
  <c r="G212" i="3" s="1"/>
  <c r="H212" i="3" l="1"/>
  <c r="I212" i="3" l="1"/>
  <c r="C213" i="3" s="1"/>
  <c r="B213" i="3" l="1"/>
  <c r="D213" i="3" s="1"/>
  <c r="E213" i="3" s="1" a="1"/>
  <c r="E213" i="3" s="1"/>
  <c r="F213" i="3" s="1"/>
  <c r="G213" i="3" s="1"/>
  <c r="H213" i="3" l="1"/>
  <c r="I213" i="3" l="1"/>
  <c r="C214" i="3" s="1"/>
  <c r="B214" i="3" s="1"/>
  <c r="D214" i="3" s="1"/>
  <c r="E214" i="3" s="1" a="1"/>
  <c r="E214" i="3" s="1"/>
  <c r="F214" i="3" s="1"/>
  <c r="G214" i="3" s="1"/>
  <c r="H214" i="3" l="1"/>
  <c r="I214" i="3" l="1"/>
  <c r="C215" i="3" s="1"/>
  <c r="B215" i="3" l="1"/>
  <c r="D215" i="3" s="1"/>
  <c r="E215" i="3" s="1" a="1"/>
  <c r="E215" i="3" s="1"/>
  <c r="F215" i="3" s="1"/>
  <c r="G215" i="3" s="1"/>
  <c r="H215" i="3" l="1"/>
  <c r="I215" i="3" l="1"/>
  <c r="C216" i="3" s="1"/>
  <c r="B216" i="3" l="1"/>
  <c r="D216" i="3" s="1"/>
  <c r="E216" i="3" s="1" a="1"/>
  <c r="E216" i="3" s="1"/>
  <c r="F216" i="3" s="1"/>
  <c r="G216" i="3" s="1"/>
  <c r="H216" i="3" l="1"/>
  <c r="I216" i="3" l="1"/>
  <c r="C217" i="3" s="1"/>
  <c r="B217" i="3" l="1"/>
  <c r="D217" i="3" s="1"/>
  <c r="E217" i="3" s="1" a="1"/>
  <c r="E217" i="3" s="1"/>
  <c r="F217" i="3" s="1"/>
  <c r="G217" i="3" s="1"/>
  <c r="H217" i="3" l="1"/>
  <c r="I217" i="3" l="1"/>
  <c r="C218" i="3" s="1"/>
  <c r="B218" i="3" l="1"/>
  <c r="D218" i="3" s="1"/>
  <c r="E218" i="3" s="1" a="1"/>
  <c r="E218" i="3" s="1"/>
  <c r="F218" i="3" s="1"/>
  <c r="G218" i="3" s="1"/>
  <c r="H218" i="3" l="1"/>
  <c r="I218" i="3" l="1"/>
  <c r="C219" i="3" s="1"/>
  <c r="B219" i="3" l="1"/>
  <c r="D219" i="3" s="1"/>
  <c r="E219" i="3" s="1" a="1"/>
  <c r="E219" i="3" s="1"/>
  <c r="F219" i="3" s="1"/>
  <c r="G219" i="3" s="1"/>
  <c r="H219" i="3" l="1"/>
  <c r="I219" i="3" l="1"/>
  <c r="C220" i="3" s="1"/>
  <c r="B220" i="3" l="1"/>
  <c r="D220" i="3" s="1"/>
  <c r="E220" i="3" s="1" a="1"/>
  <c r="E220" i="3" s="1"/>
  <c r="F220" i="3" s="1"/>
  <c r="G220" i="3" s="1"/>
  <c r="H220" i="3" l="1"/>
  <c r="I220" i="3" l="1"/>
  <c r="C221" i="3" s="1"/>
  <c r="B221" i="3" l="1"/>
  <c r="D221" i="3" s="1"/>
  <c r="E221" i="3" s="1" a="1"/>
  <c r="E221" i="3" s="1"/>
  <c r="F221" i="3" s="1"/>
  <c r="G221" i="3" s="1"/>
  <c r="H221" i="3" l="1"/>
  <c r="I221" i="3" l="1"/>
  <c r="C222" i="3" s="1"/>
  <c r="B222" i="3" l="1"/>
  <c r="D222" i="3" s="1"/>
  <c r="E222" i="3" s="1" a="1"/>
  <c r="E222" i="3" s="1"/>
  <c r="F222" i="3" s="1"/>
  <c r="G222" i="3" s="1"/>
  <c r="H222" i="3" l="1"/>
  <c r="I222" i="3" l="1"/>
  <c r="C223" i="3" s="1"/>
  <c r="B223" i="3" l="1"/>
  <c r="D223" i="3" s="1"/>
  <c r="E223" i="3" s="1" a="1"/>
  <c r="E223" i="3" s="1"/>
  <c r="F223" i="3" s="1"/>
  <c r="G223" i="3" s="1"/>
  <c r="H223" i="3" l="1"/>
  <c r="I223" i="3" l="1"/>
  <c r="C224" i="3" s="1"/>
  <c r="B224" i="3" l="1"/>
  <c r="D224" i="3" s="1"/>
  <c r="E224" i="3" s="1" a="1"/>
  <c r="E224" i="3" s="1"/>
  <c r="F224" i="3" s="1"/>
  <c r="G224" i="3" s="1"/>
  <c r="H224" i="3" l="1"/>
  <c r="I224" i="3" l="1"/>
  <c r="C225" i="3" s="1"/>
  <c r="B225" i="3" l="1"/>
  <c r="D225" i="3" s="1"/>
  <c r="E225" i="3" s="1" a="1"/>
  <c r="E225" i="3" s="1"/>
  <c r="F225" i="3" s="1"/>
  <c r="G225" i="3" s="1"/>
  <c r="H225" i="3" l="1"/>
  <c r="I225" i="3" l="1"/>
  <c r="C226" i="3" s="1"/>
  <c r="B226" i="3" l="1"/>
  <c r="D226" i="3" s="1"/>
  <c r="E226" i="3" s="1" a="1"/>
  <c r="E226" i="3" s="1"/>
  <c r="F226" i="3" s="1"/>
  <c r="G226" i="3" s="1"/>
  <c r="H226" i="3" l="1"/>
  <c r="I226" i="3" l="1"/>
  <c r="C227" i="3" s="1"/>
  <c r="B227" i="3" l="1"/>
  <c r="D227" i="3" s="1"/>
  <c r="E227" i="3" s="1" a="1"/>
  <c r="E227" i="3" s="1"/>
  <c r="F227" i="3" s="1"/>
  <c r="G227" i="3" s="1"/>
  <c r="H227" i="3" l="1"/>
  <c r="I227" i="3" l="1"/>
  <c r="C228" i="3" s="1"/>
  <c r="B228" i="3" l="1"/>
  <c r="D228" i="3" s="1"/>
  <c r="E228" i="3" s="1" a="1"/>
  <c r="E228" i="3" s="1"/>
  <c r="F228" i="3" s="1"/>
  <c r="G228" i="3" s="1"/>
  <c r="H228" i="3" l="1"/>
  <c r="I228" i="3" l="1"/>
  <c r="C229" i="3" s="1"/>
  <c r="B229" i="3" l="1"/>
  <c r="D229" i="3" s="1"/>
  <c r="E229" i="3" s="1" a="1"/>
  <c r="E229" i="3" s="1"/>
  <c r="F229" i="3" s="1"/>
  <c r="G229" i="3" s="1"/>
  <c r="H229" i="3" l="1"/>
  <c r="I229" i="3" l="1"/>
  <c r="C230" i="3" s="1"/>
  <c r="B230" i="3" l="1"/>
  <c r="D230" i="3" s="1"/>
  <c r="E230" i="3" s="1" a="1"/>
  <c r="E230" i="3" s="1"/>
  <c r="F230" i="3" s="1"/>
  <c r="G230" i="3" s="1"/>
  <c r="H230" i="3" l="1"/>
  <c r="I230" i="3" l="1"/>
  <c r="C231" i="3" s="1"/>
  <c r="B231" i="3" l="1"/>
  <c r="D231" i="3" s="1"/>
  <c r="E231" i="3" s="1" a="1"/>
  <c r="E231" i="3" s="1"/>
  <c r="F231" i="3" s="1"/>
  <c r="G231" i="3" s="1"/>
  <c r="H231" i="3" l="1"/>
  <c r="I231" i="3" l="1"/>
  <c r="C232" i="3" s="1"/>
  <c r="B232" i="3" l="1"/>
  <c r="D232" i="3" s="1"/>
  <c r="E232" i="3" s="1" a="1"/>
  <c r="E232" i="3" s="1"/>
  <c r="F232" i="3" s="1"/>
  <c r="G232" i="3" s="1"/>
  <c r="H232" i="3" l="1"/>
  <c r="I232" i="3" l="1"/>
  <c r="C233" i="3" s="1"/>
  <c r="B233" i="3" l="1"/>
  <c r="D233" i="3" s="1"/>
  <c r="E233" i="3" s="1" a="1"/>
  <c r="E233" i="3" s="1"/>
  <c r="F233" i="3" s="1"/>
  <c r="G233" i="3" s="1"/>
  <c r="H233" i="3" l="1"/>
  <c r="I233" i="3" l="1"/>
  <c r="C234" i="3" s="1"/>
  <c r="B234" i="3" l="1"/>
  <c r="D234" i="3" s="1"/>
  <c r="E234" i="3" s="1" a="1"/>
  <c r="E234" i="3" s="1"/>
  <c r="F234" i="3" s="1"/>
  <c r="G234" i="3" s="1"/>
  <c r="H234" i="3" l="1"/>
  <c r="I234" i="3" l="1"/>
  <c r="C235" i="3" s="1"/>
  <c r="B235" i="3" l="1"/>
  <c r="D235" i="3" s="1"/>
  <c r="E235" i="3" s="1" a="1"/>
  <c r="E235" i="3" s="1"/>
  <c r="F235" i="3" s="1"/>
  <c r="G235" i="3" s="1"/>
  <c r="H235" i="3" l="1"/>
  <c r="I235" i="3" l="1"/>
  <c r="C236" i="3" s="1"/>
  <c r="B236" i="3" l="1"/>
  <c r="D236" i="3" s="1"/>
  <c r="E236" i="3" s="1" a="1"/>
  <c r="E236" i="3" s="1"/>
  <c r="F236" i="3" s="1"/>
  <c r="G236" i="3" s="1"/>
  <c r="H236" i="3" l="1"/>
  <c r="I236" i="3" l="1"/>
  <c r="C237" i="3" s="1"/>
  <c r="B237" i="3" l="1"/>
  <c r="D237" i="3" s="1"/>
  <c r="E237" i="3" s="1" a="1"/>
  <c r="E237" i="3" s="1"/>
  <c r="F237" i="3" s="1"/>
  <c r="G237" i="3" s="1"/>
  <c r="H237" i="3" l="1"/>
  <c r="I237" i="3" l="1"/>
  <c r="C238" i="3" s="1"/>
  <c r="B238" i="3" l="1"/>
  <c r="D238" i="3" s="1"/>
  <c r="E238" i="3" s="1" a="1"/>
  <c r="E238" i="3" s="1"/>
  <c r="F238" i="3" s="1"/>
  <c r="G238" i="3" s="1"/>
  <c r="H238" i="3" l="1"/>
  <c r="I238" i="3" l="1"/>
  <c r="C239" i="3" s="1"/>
  <c r="B239" i="3" l="1"/>
  <c r="D239" i="3" s="1"/>
  <c r="E239" i="3" s="1" a="1"/>
  <c r="E239" i="3" s="1"/>
  <c r="F239" i="3" s="1"/>
  <c r="G239" i="3" s="1"/>
  <c r="H239" i="3" l="1"/>
  <c r="I239" i="3" l="1"/>
  <c r="C240" i="3" s="1"/>
  <c r="B240" i="3" l="1"/>
  <c r="D240" i="3" s="1"/>
  <c r="E240" i="3" s="1" a="1"/>
  <c r="E240" i="3" s="1"/>
  <c r="F240" i="3" s="1"/>
  <c r="G240" i="3" s="1"/>
  <c r="H240" i="3" l="1"/>
  <c r="I240" i="3" l="1"/>
  <c r="C241" i="3" s="1"/>
  <c r="B241" i="3" l="1"/>
  <c r="D241" i="3" s="1"/>
  <c r="E241" i="3" s="1" a="1"/>
  <c r="E241" i="3" s="1"/>
  <c r="F241" i="3" s="1"/>
  <c r="G241" i="3" s="1"/>
  <c r="H241" i="3" l="1"/>
  <c r="I241" i="3" l="1"/>
  <c r="C242" i="3" s="1"/>
  <c r="B242" i="3" l="1"/>
  <c r="D242" i="3" s="1"/>
  <c r="E242" i="3" s="1" a="1"/>
  <c r="E242" i="3" s="1"/>
  <c r="F242" i="3" s="1"/>
  <c r="G242" i="3" s="1"/>
  <c r="H242" i="3" l="1"/>
  <c r="I242" i="3" l="1"/>
  <c r="C243" i="3" s="1"/>
  <c r="B243" i="3" l="1"/>
  <c r="D243" i="3" s="1"/>
  <c r="E243" i="3" s="1" a="1"/>
  <c r="E243" i="3" s="1"/>
  <c r="F243" i="3" s="1"/>
  <c r="G243" i="3" s="1"/>
  <c r="H243" i="3" l="1"/>
  <c r="I243" i="3" l="1"/>
  <c r="C244" i="3" s="1"/>
  <c r="B244" i="3" s="1"/>
  <c r="D244" i="3" s="1"/>
  <c r="E244" i="3" s="1" a="1"/>
  <c r="E244" i="3" s="1"/>
  <c r="F244" i="3" s="1"/>
  <c r="G244" i="3" s="1"/>
  <c r="H244" i="3" l="1"/>
  <c r="I244" i="3" l="1"/>
  <c r="C245" i="3" s="1"/>
  <c r="B245" i="3" l="1"/>
  <c r="D245" i="3" s="1"/>
  <c r="E245" i="3" s="1" a="1"/>
  <c r="E245" i="3" s="1"/>
  <c r="F245" i="3" s="1"/>
  <c r="G245" i="3" s="1"/>
  <c r="H245" i="3" l="1"/>
  <c r="I245" i="3" l="1"/>
  <c r="C246" i="3" s="1"/>
  <c r="B246" i="3" l="1"/>
  <c r="D246" i="3" s="1"/>
  <c r="E246" i="3" s="1" a="1"/>
  <c r="E246" i="3" s="1"/>
  <c r="F246" i="3" s="1"/>
  <c r="G246" i="3" s="1"/>
  <c r="H246" i="3" l="1"/>
  <c r="I246" i="3" l="1"/>
  <c r="C247" i="3" s="1"/>
  <c r="B247" i="3" l="1"/>
  <c r="D247" i="3" s="1"/>
  <c r="E247" i="3" s="1" a="1"/>
  <c r="E247" i="3" s="1"/>
  <c r="F247" i="3" s="1"/>
  <c r="G247" i="3" s="1"/>
  <c r="H247" i="3" l="1"/>
  <c r="I247" i="3" l="1"/>
  <c r="C248" i="3" s="1"/>
  <c r="B248" i="3" l="1"/>
  <c r="D248" i="3" s="1"/>
  <c r="E248" i="3" s="1" a="1"/>
  <c r="E248" i="3" s="1"/>
  <c r="F248" i="3" s="1"/>
  <c r="G248" i="3" s="1"/>
  <c r="H248" i="3" l="1"/>
  <c r="I248" i="3" l="1"/>
  <c r="C249" i="3" s="1"/>
  <c r="B249" i="3" l="1"/>
  <c r="D249" i="3" s="1"/>
  <c r="E249" i="3" s="1" a="1"/>
  <c r="E249" i="3" s="1"/>
  <c r="F249" i="3" s="1"/>
  <c r="G249" i="3" s="1"/>
  <c r="H249" i="3" l="1"/>
  <c r="I249" i="3" l="1"/>
  <c r="C250" i="3" s="1"/>
  <c r="B250" i="3" l="1"/>
  <c r="D250" i="3" s="1"/>
  <c r="E250" i="3" s="1" a="1"/>
  <c r="E250" i="3" s="1"/>
  <c r="F250" i="3" s="1"/>
  <c r="G250" i="3" s="1"/>
  <c r="H250" i="3" l="1"/>
  <c r="I250" i="3" l="1"/>
  <c r="C251" i="3" s="1"/>
  <c r="B251" i="3" s="1"/>
  <c r="D251" i="3" s="1"/>
  <c r="E251" i="3" s="1" a="1"/>
  <c r="E251" i="3" s="1"/>
  <c r="F251" i="3" s="1"/>
  <c r="G251" i="3" s="1"/>
  <c r="H251" i="3" l="1"/>
  <c r="O3" i="3"/>
  <c r="I25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<sst xmlns="http://schemas.openxmlformats.org/spreadsheetml/2006/main" count="322" uniqueCount="128">
  <si>
    <t>Capacity</t>
  </si>
  <si>
    <t>Voltage</t>
  </si>
  <si>
    <t>No display</t>
  </si>
  <si>
    <t>Low batt</t>
  </si>
  <si>
    <t>Time</t>
  </si>
  <si>
    <t>Battery Capacity</t>
  </si>
  <si>
    <t>%</t>
  </si>
  <si>
    <t>mAh</t>
  </si>
  <si>
    <t>h</t>
  </si>
  <si>
    <t>Load current</t>
  </si>
  <si>
    <t>Battery Voltage</t>
  </si>
  <si>
    <t>V</t>
  </si>
  <si>
    <t>Discharge</t>
  </si>
  <si>
    <t>BatRow</t>
  </si>
  <si>
    <t>mA</t>
  </si>
  <si>
    <t>Loadrow</t>
  </si>
  <si>
    <t>Consumption</t>
  </si>
  <si>
    <t>Vreg</t>
  </si>
  <si>
    <t>Vdo</t>
  </si>
  <si>
    <t>T(0.)</t>
  </si>
  <si>
    <t>kOhm</t>
  </si>
  <si>
    <t>Vdiode</t>
  </si>
  <si>
    <t>Charge (ideal)</t>
  </si>
  <si>
    <t>Rprog (ideal)</t>
  </si>
  <si>
    <t>Rprog (close)</t>
  </si>
  <si>
    <t>Charge (real)</t>
  </si>
  <si>
    <t>Itarget HP</t>
  </si>
  <si>
    <t>Rprog (HP, ideal)</t>
  </si>
  <si>
    <t>Rprog2(HP,ideal)</t>
  </si>
  <si>
    <t>Rprog2(HP,close)</t>
  </si>
  <si>
    <t>Rprog(HP,real)</t>
  </si>
  <si>
    <t>Icharge HP</t>
  </si>
  <si>
    <t>Vref</t>
  </si>
  <si>
    <t>R4</t>
  </si>
  <si>
    <t>R5</t>
  </si>
  <si>
    <t>Vout</t>
  </si>
  <si>
    <t>Pd</t>
  </si>
  <si>
    <t>W</t>
  </si>
  <si>
    <t>Iout</t>
  </si>
  <si>
    <t>A</t>
  </si>
  <si>
    <t>Vin(max)</t>
  </si>
  <si>
    <t>Component</t>
  </si>
  <si>
    <t>Iq</t>
  </si>
  <si>
    <t>datasheet</t>
  </si>
  <si>
    <t>calc</t>
  </si>
  <si>
    <t>MAX40203</t>
  </si>
  <si>
    <t>With reg</t>
  </si>
  <si>
    <t>No reg</t>
  </si>
  <si>
    <t>Noreg</t>
  </si>
  <si>
    <t>Parameter</t>
  </si>
  <si>
    <t>Value</t>
  </si>
  <si>
    <t>Unit</t>
  </si>
  <si>
    <t>R1</t>
  </si>
  <si>
    <t>R8</t>
  </si>
  <si>
    <t>KISET(HC,min)</t>
  </si>
  <si>
    <t>KISET(HC,max)</t>
  </si>
  <si>
    <t>KISET(LC,min)</t>
  </si>
  <si>
    <t>KISET(LC,max)</t>
  </si>
  <si>
    <t>A*Ohm</t>
  </si>
  <si>
    <t>Imax</t>
  </si>
  <si>
    <t>Imin</t>
  </si>
  <si>
    <t>Inom</t>
  </si>
  <si>
    <t>Ifb</t>
  </si>
  <si>
    <t>Idiv</t>
  </si>
  <si>
    <t>uA</t>
  </si>
  <si>
    <t>IR4</t>
  </si>
  <si>
    <t>IR5</t>
  </si>
  <si>
    <t>VR4</t>
  </si>
  <si>
    <t>D1</t>
  </si>
  <si>
    <t>PROG circuit</t>
  </si>
  <si>
    <t>V_ISET = 0</t>
  </si>
  <si>
    <t>BQ21040</t>
  </si>
  <si>
    <t>TLV75801</t>
  </si>
  <si>
    <t>regulator FB</t>
  </si>
  <si>
    <t>TPS3808</t>
  </si>
  <si>
    <t>Battery capacity</t>
  </si>
  <si>
    <t>hours</t>
  </si>
  <si>
    <t>Time (reg)</t>
  </si>
  <si>
    <t>days</t>
  </si>
  <si>
    <t>years</t>
  </si>
  <si>
    <t>Time (no reg)</t>
  </si>
  <si>
    <t>datasheet (shutdown)</t>
  </si>
  <si>
    <t>D2</t>
  </si>
  <si>
    <t>Source/notes</t>
  </si>
  <si>
    <t>PMEG40T10ERX datasheet Ir (to ground via R9).</t>
  </si>
  <si>
    <t>LiPo self-discharge rate</t>
  </si>
  <si>
    <t>/month</t>
  </si>
  <si>
    <t>Month</t>
  </si>
  <si>
    <t>Self discharge</t>
  </si>
  <si>
    <t>Hours per month</t>
  </si>
  <si>
    <t>q discharge</t>
  </si>
  <si>
    <t>REGULATED</t>
  </si>
  <si>
    <t>NO REG</t>
  </si>
  <si>
    <t>total disch</t>
  </si>
  <si>
    <t>IGNORE SELF-DISCHARGE (5%/mo --&gt; .16%/day)</t>
  </si>
  <si>
    <t>t</t>
  </si>
  <si>
    <t>R5=100k</t>
  </si>
  <si>
    <t>R5=97.6k</t>
  </si>
  <si>
    <t>R5=95.3k</t>
  </si>
  <si>
    <t>DW01A</t>
  </si>
  <si>
    <t>datasheet - in battery pack</t>
  </si>
  <si>
    <t>FS8205A</t>
  </si>
  <si>
    <t>datasheet - 0V gate leakage current</t>
  </si>
  <si>
    <t>Device</t>
  </si>
  <si>
    <t>State</t>
  </si>
  <si>
    <t>0.</t>
  </si>
  <si>
    <t>Notes</t>
  </si>
  <si>
    <t>Current</t>
  </si>
  <si>
    <t>max digits</t>
  </si>
  <si>
    <t>HP35</t>
  </si>
  <si>
    <t>HP45</t>
  </si>
  <si>
    <t>0.00</t>
  </si>
  <si>
    <t>Input power</t>
  </si>
  <si>
    <t>mW</t>
  </si>
  <si>
    <t>Reg power 4.2V</t>
  </si>
  <si>
    <t>HP35 - more efficient from regulated supply</t>
  </si>
  <si>
    <t>HP45 - more efficient unregulated</t>
  </si>
  <si>
    <t>HP67</t>
  </si>
  <si>
    <t>Flickering/faulty</t>
  </si>
  <si>
    <t>Low batt (faint)</t>
  </si>
  <si>
    <t>HP67 - more efficient unregulated</t>
  </si>
  <si>
    <t>Output Voltage</t>
  </si>
  <si>
    <t>LINEAR REGULATOR</t>
  </si>
  <si>
    <t>SOD123 zener 5.6V</t>
  </si>
  <si>
    <t>Vratio</t>
  </si>
  <si>
    <t>V(V)</t>
  </si>
  <si>
    <t>i(uA)</t>
  </si>
  <si>
    <t>estimated for 4.7V zener at 3.8V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</si>
</sst>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1" fillId="0" borderId="0" xfId="0" applyNumberFormat="1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Battery!$C$1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Battery!$B$2:$B$41</c:f>
              <c:numCache>
                <c:formatCode>General</c:formatCode>
                <c:ptCount val="40"/>
                <c:pt idx="0">
                  <c:v>100</c:v>
                </c:pt>
                <c:pt idx="1">
                  <c:v>99.9</c:v>
                </c:pt>
                <c:pt idx="2">
                  <c:v>99.636363626275184</c:v>
                </c:pt>
                <c:pt idx="3">
                  <c:v>98.909090878825538</c:v>
                </c:pt>
                <c:pt idx="4">
                  <c:v>98.036363027020911</c:v>
                </c:pt>
                <c:pt idx="5">
                  <c:v>97.309090279571265</c:v>
                </c:pt>
                <c:pt idx="6">
                  <c:v>96.363636262751811</c:v>
                </c:pt>
                <c:pt idx="7">
                  <c:v>94.763635663497524</c:v>
                </c:pt>
                <c:pt idx="8">
                  <c:v>90.763635552524519</c:v>
                </c:pt>
                <c:pt idx="9">
                  <c:v>87.345455858971505</c:v>
                </c:pt>
                <c:pt idx="10">
                  <c:v>83.709092121723401</c:v>
                </c:pt>
                <c:pt idx="11">
                  <c:v>79.999996670809594</c:v>
                </c:pt>
                <c:pt idx="12">
                  <c:v>75.636360186111801</c:v>
                </c:pt>
                <c:pt idx="13">
                  <c:v>71.345455415079499</c:v>
                </c:pt>
                <c:pt idx="14">
                  <c:v>66.545450842991301</c:v>
                </c:pt>
                <c:pt idx="15">
                  <c:v>61.309089280814199</c:v>
                </c:pt>
                <c:pt idx="16">
                  <c:v>55.636359631246698</c:v>
                </c:pt>
                <c:pt idx="17">
                  <c:v>50.254545739039997</c:v>
                </c:pt>
                <c:pt idx="18">
                  <c:v>43.709085463342497</c:v>
                </c:pt>
                <c:pt idx="19">
                  <c:v>36.799994362570899</c:v>
                </c:pt>
                <c:pt idx="20">
                  <c:v>31.345448756698602</c:v>
                </c:pt>
                <c:pt idx="21">
                  <c:v>26.036355480855903</c:v>
                </c:pt>
                <c:pt idx="22">
                  <c:v>20.945446248708507</c:v>
                </c:pt>
                <c:pt idx="23">
                  <c:v>16.727273191341695</c:v>
                </c:pt>
                <c:pt idx="24">
                  <c:v>14.036355147936902</c:v>
                </c:pt>
                <c:pt idx="25">
                  <c:v>11.490900531863204</c:v>
                </c:pt>
                <c:pt idx="26">
                  <c:v>11.490900531863204</c:v>
                </c:pt>
                <c:pt idx="27">
                  <c:v>9.0909093431205008</c:v>
                </c:pt>
                <c:pt idx="28">
                  <c:v>6.9818117171356988</c:v>
                </c:pt>
                <c:pt idx="29">
                  <c:v>5.818181979597199</c:v>
                </c:pt>
                <c:pt idx="30">
                  <c:v>4.5818094310915995</c:v>
                </c:pt>
                <c:pt idx="31">
                  <c:v>3.6363637372482032</c:v>
                </c:pt>
                <c:pt idx="32">
                  <c:v>2.7636275624675051</c:v>
                </c:pt>
                <c:pt idx="33">
                  <c:v>2.1818182423489958</c:v>
                </c:pt>
                <c:pt idx="34">
                  <c:v>1.5499999999999972</c:v>
                </c:pt>
                <c:pt idx="35">
                  <c:v>0.94544569384339638</c:v>
                </c:pt>
                <c:pt idx="36">
                  <c:v>0.58180932011859454</c:v>
                </c:pt>
                <c:pt idx="37">
                  <c:v>0.21817294639380691</c:v>
                </c:pt>
                <c:pt idx="38">
                  <c:v>0</c:v>
                </c:pt>
                <c:pt idx="39">
                  <c:v>-9.9999999999994316E-2</c:v>
                </c:pt>
              </c:numCache>
            </c:numRef>
          </c:xVal>
          <c:yVal>
            <c:numRef>
              <c:f>Battery!$C$2:$C$41</c:f>
              <c:numCache>
                <c:formatCode>General</c:formatCode>
                <c:ptCount val="40"/>
                <c:pt idx="0">
                  <c:v>4.2</c:v>
                </c:pt>
                <c:pt idx="1">
                  <c:v>4.1900000000000004</c:v>
                </c:pt>
                <c:pt idx="2">
                  <c:v>4.1577653828300001</c:v>
                </c:pt>
                <c:pt idx="3">
                  <c:v>4.1389943623039001</c:v>
                </c:pt>
                <c:pt idx="4">
                  <c:v>4.1233519048700602</c:v>
                </c:pt>
                <c:pt idx="5">
                  <c:v>4.1155306761531403</c:v>
                </c:pt>
                <c:pt idx="6">
                  <c:v>4.1030167818115499</c:v>
                </c:pt>
                <c:pt idx="7">
                  <c:v>4.0842457612854597</c:v>
                </c:pt>
                <c:pt idx="8">
                  <c:v>4.0420112037867</c:v>
                </c:pt>
                <c:pt idx="9">
                  <c:v>4.0107262889190203</c:v>
                </c:pt>
                <c:pt idx="10">
                  <c:v>3.9747485890841898</c:v>
                </c:pt>
                <c:pt idx="11">
                  <c:v>3.9434636742165101</c:v>
                </c:pt>
                <c:pt idx="12">
                  <c:v>3.91217875934883</c:v>
                </c:pt>
                <c:pt idx="13">
                  <c:v>3.8762011191852399</c:v>
                </c:pt>
                <c:pt idx="14">
                  <c:v>3.8464804858636898</c:v>
                </c:pt>
                <c:pt idx="15">
                  <c:v>3.8183240147457802</c:v>
                </c:pt>
                <c:pt idx="16">
                  <c:v>3.7917318848452402</c:v>
                </c:pt>
                <c:pt idx="17">
                  <c:v>3.7713966424442602</c:v>
                </c:pt>
                <c:pt idx="18">
                  <c:v>3.75106145971451</c:v>
                </c:pt>
                <c:pt idx="19">
                  <c:v>3.7354190022806701</c:v>
                </c:pt>
                <c:pt idx="20">
                  <c:v>3.7213408263929599</c:v>
                </c:pt>
                <c:pt idx="21">
                  <c:v>3.70413408741299</c:v>
                </c:pt>
                <c:pt idx="22">
                  <c:v>3.6806704012622302</c:v>
                </c:pt>
                <c:pt idx="23">
                  <c:v>3.6540782116904502</c:v>
                </c:pt>
                <c:pt idx="24">
                  <c:v>3.63061452553969</c:v>
                </c:pt>
                <c:pt idx="25">
                  <c:v>3.6071508393889302</c:v>
                </c:pt>
                <c:pt idx="26">
                  <c:v>3.6071508393889302</c:v>
                </c:pt>
                <c:pt idx="27">
                  <c:v>3.57586598419249</c:v>
                </c:pt>
                <c:pt idx="28">
                  <c:v>3.5367598406078899</c:v>
                </c:pt>
                <c:pt idx="29">
                  <c:v>3.5023463626479501</c:v>
                </c:pt>
                <c:pt idx="30">
                  <c:v>3.4554189903464199</c:v>
                </c:pt>
                <c:pt idx="31">
                  <c:v>3.4037989524202401</c:v>
                </c:pt>
                <c:pt idx="32">
                  <c:v>3.34905035140179</c:v>
                </c:pt>
                <c:pt idx="33">
                  <c:v>3.29899441600802</c:v>
                </c:pt>
                <c:pt idx="34">
                  <c:v>3.2395531493649101</c:v>
                </c:pt>
                <c:pt idx="35">
                  <c:v>3.1801117633793199</c:v>
                </c:pt>
                <c:pt idx="36">
                  <c:v>3.1222347186111001</c:v>
                </c:pt>
                <c:pt idx="37">
                  <c:v>3.0643575545004</c:v>
                </c:pt>
                <c:pt idx="38">
                  <c:v>3</c:v>
                </c:pt>
                <c:pt idx="39">
                  <c:v>2.99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4A-4F20-A79C-D5B909119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684208"/>
        <c:axId val="1936410480"/>
      </c:scatterChart>
      <c:valAx>
        <c:axId val="61868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410480"/>
        <c:crosses val="autoZero"/>
        <c:crossBetween val="midCat"/>
      </c:valAx>
      <c:valAx>
        <c:axId val="1936410480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68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HP35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108792650918635E-2"/>
                  <c:y val="0.173164682539682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Load!$C$7:$C$14</c:f>
              <c:numCache>
                <c:formatCode>General</c:formatCode>
                <c:ptCount val="8"/>
                <c:pt idx="0">
                  <c:v>3.51</c:v>
                </c:pt>
                <c:pt idx="1">
                  <c:v>3.6</c:v>
                </c:pt>
                <c:pt idx="2">
                  <c:v>3.7</c:v>
                </c:pt>
                <c:pt idx="3">
                  <c:v>3.8</c:v>
                </c:pt>
                <c:pt idx="4">
                  <c:v>3.9</c:v>
                </c:pt>
                <c:pt idx="5">
                  <c:v>3.99</c:v>
                </c:pt>
                <c:pt idx="6">
                  <c:v>4.09</c:v>
                </c:pt>
                <c:pt idx="7">
                  <c:v>4.1900000000000004</c:v>
                </c:pt>
              </c:numCache>
            </c:numRef>
          </c:xVal>
          <c:yVal>
            <c:numRef>
              <c:f>Load!$D$7:$D$14</c:f>
              <c:numCache>
                <c:formatCode>General</c:formatCode>
                <c:ptCount val="8"/>
                <c:pt idx="0">
                  <c:v>84.4</c:v>
                </c:pt>
                <c:pt idx="1">
                  <c:v>87.6</c:v>
                </c:pt>
                <c:pt idx="2">
                  <c:v>89.1</c:v>
                </c:pt>
                <c:pt idx="3">
                  <c:v>91.3</c:v>
                </c:pt>
                <c:pt idx="4">
                  <c:v>93.6</c:v>
                </c:pt>
                <c:pt idx="5">
                  <c:v>95.9</c:v>
                </c:pt>
                <c:pt idx="6">
                  <c:v>98.2</c:v>
                </c:pt>
                <c:pt idx="7">
                  <c:v>100.3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1-4385-A1F2-211B3D808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71360"/>
        <c:axId val="16642608"/>
      </c:scatterChart>
      <c:valAx>
        <c:axId val="1849871360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608"/>
        <c:crosses val="autoZero"/>
        <c:crossBetween val="midCat"/>
      </c:valAx>
      <c:valAx>
        <c:axId val="166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7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HP45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2178280839895013"/>
                  <c:y val="-7.24499281339832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Load!$C$27:$C$33</c:f>
              <c:numCache>
                <c:formatCode>General</c:formatCode>
                <c:ptCount val="7"/>
                <c:pt idx="0">
                  <c:v>3.6</c:v>
                </c:pt>
                <c:pt idx="1">
                  <c:v>3.7</c:v>
                </c:pt>
                <c:pt idx="2">
                  <c:v>3.81</c:v>
                </c:pt>
                <c:pt idx="3">
                  <c:v>3.9</c:v>
                </c:pt>
                <c:pt idx="4">
                  <c:v>4</c:v>
                </c:pt>
                <c:pt idx="5">
                  <c:v>4.0999999999999996</c:v>
                </c:pt>
                <c:pt idx="6">
                  <c:v>4.2</c:v>
                </c:pt>
              </c:numCache>
            </c:numRef>
          </c:xVal>
          <c:yVal>
            <c:numRef>
              <c:f>Load!$D$27:$D$33</c:f>
              <c:numCache>
                <c:formatCode>General</c:formatCode>
                <c:ptCount val="7"/>
                <c:pt idx="0">
                  <c:v>103.7</c:v>
                </c:pt>
                <c:pt idx="1">
                  <c:v>102.9</c:v>
                </c:pt>
                <c:pt idx="2">
                  <c:v>102</c:v>
                </c:pt>
                <c:pt idx="3">
                  <c:v>101.6</c:v>
                </c:pt>
                <c:pt idx="4">
                  <c:v>101</c:v>
                </c:pt>
                <c:pt idx="5">
                  <c:v>100.6</c:v>
                </c:pt>
                <c:pt idx="6">
                  <c:v>100.3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9B-4961-BC88-B119E1D8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71360"/>
        <c:axId val="16642608"/>
      </c:scatterChart>
      <c:valAx>
        <c:axId val="1849871360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608"/>
        <c:crosses val="autoZero"/>
        <c:crossBetween val="midCat"/>
      </c:valAx>
      <c:valAx>
        <c:axId val="166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7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HP67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2178280839895013"/>
                  <c:y val="-7.24499281339832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Load!$C$46:$C$55</c:f>
              <c:numCache>
                <c:formatCode>General</c:formatCode>
                <c:ptCount val="10"/>
                <c:pt idx="0">
                  <c:v>3.6</c:v>
                </c:pt>
                <c:pt idx="1">
                  <c:v>3.7</c:v>
                </c:pt>
                <c:pt idx="2">
                  <c:v>3.8</c:v>
                </c:pt>
                <c:pt idx="3">
                  <c:v>3.9</c:v>
                </c:pt>
                <c:pt idx="4">
                  <c:v>4</c:v>
                </c:pt>
                <c:pt idx="5">
                  <c:v>4.0999999999999996</c:v>
                </c:pt>
                <c:pt idx="6">
                  <c:v>4.2</c:v>
                </c:pt>
                <c:pt idx="7">
                  <c:v>4.3</c:v>
                </c:pt>
                <c:pt idx="8">
                  <c:v>4.4000000000000004</c:v>
                </c:pt>
                <c:pt idx="9">
                  <c:v>4.5</c:v>
                </c:pt>
              </c:numCache>
            </c:numRef>
          </c:xVal>
          <c:yVal>
            <c:numRef>
              <c:f>Load!$D$46:$D$55</c:f>
              <c:numCache>
                <c:formatCode>General</c:formatCode>
                <c:ptCount val="10"/>
                <c:pt idx="0">
                  <c:v>153.19999999999999</c:v>
                </c:pt>
                <c:pt idx="1">
                  <c:v>150.69999999999999</c:v>
                </c:pt>
                <c:pt idx="2">
                  <c:v>148.9</c:v>
                </c:pt>
                <c:pt idx="3">
                  <c:v>147.19999999999999</c:v>
                </c:pt>
                <c:pt idx="4">
                  <c:v>145.1</c:v>
                </c:pt>
                <c:pt idx="5">
                  <c:v>143.80000000000001</c:v>
                </c:pt>
                <c:pt idx="6">
                  <c:v>142.4</c:v>
                </c:pt>
                <c:pt idx="7">
                  <c:v>141</c:v>
                </c:pt>
                <c:pt idx="8">
                  <c:v>140</c:v>
                </c:pt>
                <c:pt idx="9">
                  <c:v>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C0-4C73-8C5B-A1B9EA0C0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71360"/>
        <c:axId val="16642608"/>
      </c:scatterChart>
      <c:valAx>
        <c:axId val="1849871360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608"/>
        <c:crosses val="autoZero"/>
        <c:crossBetween val="midCat"/>
      </c:valAx>
      <c:valAx>
        <c:axId val="166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7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HP35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Load!$C$7:$C$15</c:f>
              <c:numCache>
                <c:formatCode>General</c:formatCode>
                <c:ptCount val="9"/>
                <c:pt idx="0">
                  <c:v>3.51</c:v>
                </c:pt>
                <c:pt idx="1">
                  <c:v>3.6</c:v>
                </c:pt>
                <c:pt idx="2">
                  <c:v>3.7</c:v>
                </c:pt>
                <c:pt idx="3">
                  <c:v>3.8</c:v>
                </c:pt>
                <c:pt idx="4">
                  <c:v>3.9</c:v>
                </c:pt>
                <c:pt idx="5">
                  <c:v>3.99</c:v>
                </c:pt>
                <c:pt idx="6">
                  <c:v>4.09</c:v>
                </c:pt>
                <c:pt idx="7">
                  <c:v>4.1900000000000004</c:v>
                </c:pt>
                <c:pt idx="8">
                  <c:v>4.29</c:v>
                </c:pt>
              </c:numCache>
            </c:numRef>
          </c:xVal>
          <c:yVal>
            <c:numRef>
              <c:f>Load!$E$7:$E$15</c:f>
              <c:numCache>
                <c:formatCode>General</c:formatCode>
                <c:ptCount val="9"/>
                <c:pt idx="0">
                  <c:v>296.24400000000003</c:v>
                </c:pt>
                <c:pt idx="1">
                  <c:v>315.36</c:v>
                </c:pt>
                <c:pt idx="2">
                  <c:v>329.67</c:v>
                </c:pt>
                <c:pt idx="3">
                  <c:v>346.94</c:v>
                </c:pt>
                <c:pt idx="4">
                  <c:v>365.03999999999996</c:v>
                </c:pt>
                <c:pt idx="5">
                  <c:v>382.64100000000002</c:v>
                </c:pt>
                <c:pt idx="6">
                  <c:v>401.63799999999998</c:v>
                </c:pt>
                <c:pt idx="7">
                  <c:v>420.25700000000001</c:v>
                </c:pt>
                <c:pt idx="8">
                  <c:v>438.86700000000002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A3-40C4-BCD8-11C842F010C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Load!$C$7:$C$15</c:f>
              <c:numCache>
                <c:formatCode>General</c:formatCode>
                <c:ptCount val="9"/>
                <c:pt idx="0">
                  <c:v>3.51</c:v>
                </c:pt>
                <c:pt idx="1">
                  <c:v>3.6</c:v>
                </c:pt>
                <c:pt idx="2">
                  <c:v>3.7</c:v>
                </c:pt>
                <c:pt idx="3">
                  <c:v>3.8</c:v>
                </c:pt>
                <c:pt idx="4">
                  <c:v>3.9</c:v>
                </c:pt>
                <c:pt idx="5">
                  <c:v>3.99</c:v>
                </c:pt>
                <c:pt idx="6">
                  <c:v>4.09</c:v>
                </c:pt>
                <c:pt idx="7">
                  <c:v>4.1900000000000004</c:v>
                </c:pt>
                <c:pt idx="8">
                  <c:v>4.29</c:v>
                </c:pt>
              </c:numCache>
            </c:numRef>
          </c:xVal>
          <c:yVal>
            <c:numRef>
              <c:f>Load!$F$7:$F$15</c:f>
              <c:numCache>
                <c:formatCode>General</c:formatCode>
                <c:ptCount val="9"/>
                <c:pt idx="0">
                  <c:v>354.48</c:v>
                </c:pt>
                <c:pt idx="1">
                  <c:v>367.92</c:v>
                </c:pt>
                <c:pt idx="2">
                  <c:v>374.21999999999997</c:v>
                </c:pt>
                <c:pt idx="3">
                  <c:v>383.46</c:v>
                </c:pt>
                <c:pt idx="4">
                  <c:v>393.12</c:v>
                </c:pt>
                <c:pt idx="5">
                  <c:v>402.78000000000003</c:v>
                </c:pt>
                <c:pt idx="6">
                  <c:v>412.44000000000005</c:v>
                </c:pt>
                <c:pt idx="7">
                  <c:v>421.26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A3-40C4-BCD8-11C842F01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71360"/>
        <c:axId val="16642608"/>
      </c:scatterChart>
      <c:valAx>
        <c:axId val="1849871360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608"/>
        <c:crosses val="autoZero"/>
        <c:crossBetween val="midCat"/>
      </c:valAx>
      <c:valAx>
        <c:axId val="166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7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HP45</a:t>
            </a:r>
            <a:r>
              <a:rPr lang="en-US" baseline="0"/>
              <a:t>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Load!$C$27:$C$33</c:f>
              <c:numCache>
                <c:formatCode>General</c:formatCode>
                <c:ptCount val="7"/>
                <c:pt idx="0">
                  <c:v>3.6</c:v>
                </c:pt>
                <c:pt idx="1">
                  <c:v>3.7</c:v>
                </c:pt>
                <c:pt idx="2">
                  <c:v>3.81</c:v>
                </c:pt>
                <c:pt idx="3">
                  <c:v>3.9</c:v>
                </c:pt>
                <c:pt idx="4">
                  <c:v>4</c:v>
                </c:pt>
                <c:pt idx="5">
                  <c:v>4.0999999999999996</c:v>
                </c:pt>
                <c:pt idx="6">
                  <c:v>4.2</c:v>
                </c:pt>
              </c:numCache>
            </c:numRef>
          </c:xVal>
          <c:yVal>
            <c:numRef>
              <c:f>Load!$E$27:$E$33</c:f>
              <c:numCache>
                <c:formatCode>General</c:formatCode>
                <c:ptCount val="7"/>
                <c:pt idx="0">
                  <c:v>373.32</c:v>
                </c:pt>
                <c:pt idx="1">
                  <c:v>380.73</c:v>
                </c:pt>
                <c:pt idx="2">
                  <c:v>388.62</c:v>
                </c:pt>
                <c:pt idx="3">
                  <c:v>396.23999999999995</c:v>
                </c:pt>
                <c:pt idx="4">
                  <c:v>404</c:v>
                </c:pt>
                <c:pt idx="5">
                  <c:v>412.45999999999992</c:v>
                </c:pt>
                <c:pt idx="6">
                  <c:v>421.26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4B-46BD-98C7-B06A776F330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Load!$C$27:$C$33</c:f>
              <c:numCache>
                <c:formatCode>General</c:formatCode>
                <c:ptCount val="7"/>
                <c:pt idx="0">
                  <c:v>3.6</c:v>
                </c:pt>
                <c:pt idx="1">
                  <c:v>3.7</c:v>
                </c:pt>
                <c:pt idx="2">
                  <c:v>3.81</c:v>
                </c:pt>
                <c:pt idx="3">
                  <c:v>3.9</c:v>
                </c:pt>
                <c:pt idx="4">
                  <c:v>4</c:v>
                </c:pt>
                <c:pt idx="5">
                  <c:v>4.0999999999999996</c:v>
                </c:pt>
                <c:pt idx="6">
                  <c:v>4.2</c:v>
                </c:pt>
              </c:numCache>
            </c:numRef>
          </c:xVal>
          <c:yVal>
            <c:numRef>
              <c:f>Load!$F$27:$F$33</c:f>
              <c:numCache>
                <c:formatCode>General</c:formatCode>
                <c:ptCount val="7"/>
                <c:pt idx="0">
                  <c:v>435.54</c:v>
                </c:pt>
                <c:pt idx="1">
                  <c:v>432.18000000000006</c:v>
                </c:pt>
                <c:pt idx="2">
                  <c:v>428.40000000000003</c:v>
                </c:pt>
                <c:pt idx="3">
                  <c:v>426.71999999999997</c:v>
                </c:pt>
                <c:pt idx="4">
                  <c:v>424.20000000000005</c:v>
                </c:pt>
                <c:pt idx="5">
                  <c:v>422.52</c:v>
                </c:pt>
                <c:pt idx="6">
                  <c:v>421.26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4B-46BD-98C7-B06A776F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71360"/>
        <c:axId val="16642608"/>
      </c:scatterChart>
      <c:valAx>
        <c:axId val="1849871360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608"/>
        <c:crosses val="autoZero"/>
        <c:crossBetween val="midCat"/>
      </c:valAx>
      <c:valAx>
        <c:axId val="166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7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HP67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Load!$C$46:$C$55</c:f>
              <c:numCache>
                <c:formatCode>General</c:formatCode>
                <c:ptCount val="10"/>
                <c:pt idx="0">
                  <c:v>3.6</c:v>
                </c:pt>
                <c:pt idx="1">
                  <c:v>3.7</c:v>
                </c:pt>
                <c:pt idx="2">
                  <c:v>3.8</c:v>
                </c:pt>
                <c:pt idx="3">
                  <c:v>3.9</c:v>
                </c:pt>
                <c:pt idx="4">
                  <c:v>4</c:v>
                </c:pt>
                <c:pt idx="5">
                  <c:v>4.0999999999999996</c:v>
                </c:pt>
                <c:pt idx="6">
                  <c:v>4.2</c:v>
                </c:pt>
                <c:pt idx="7">
                  <c:v>4.3</c:v>
                </c:pt>
                <c:pt idx="8">
                  <c:v>4.4000000000000004</c:v>
                </c:pt>
                <c:pt idx="9">
                  <c:v>4.5</c:v>
                </c:pt>
              </c:numCache>
            </c:numRef>
          </c:xVal>
          <c:yVal>
            <c:numRef>
              <c:f>Load!$E$46:$E$55</c:f>
              <c:numCache>
                <c:formatCode>General</c:formatCode>
                <c:ptCount val="10"/>
                <c:pt idx="0">
                  <c:v>551.52</c:v>
                </c:pt>
                <c:pt idx="1">
                  <c:v>557.59</c:v>
                </c:pt>
                <c:pt idx="2">
                  <c:v>565.82000000000005</c:v>
                </c:pt>
                <c:pt idx="3">
                  <c:v>574.07999999999993</c:v>
                </c:pt>
                <c:pt idx="4">
                  <c:v>580.4</c:v>
                </c:pt>
                <c:pt idx="5">
                  <c:v>589.58000000000004</c:v>
                </c:pt>
                <c:pt idx="6">
                  <c:v>598.08000000000004</c:v>
                </c:pt>
                <c:pt idx="7">
                  <c:v>606.29999999999995</c:v>
                </c:pt>
                <c:pt idx="8">
                  <c:v>616</c:v>
                </c:pt>
                <c:pt idx="9">
                  <c:v>625.5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D7-4315-A4AB-EA41ABB8C0D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Load!$C$46:$C$55</c:f>
              <c:numCache>
                <c:formatCode>General</c:formatCode>
                <c:ptCount val="10"/>
                <c:pt idx="0">
                  <c:v>3.6</c:v>
                </c:pt>
                <c:pt idx="1">
                  <c:v>3.7</c:v>
                </c:pt>
                <c:pt idx="2">
                  <c:v>3.8</c:v>
                </c:pt>
                <c:pt idx="3">
                  <c:v>3.9</c:v>
                </c:pt>
                <c:pt idx="4">
                  <c:v>4</c:v>
                </c:pt>
                <c:pt idx="5">
                  <c:v>4.0999999999999996</c:v>
                </c:pt>
                <c:pt idx="6">
                  <c:v>4.2</c:v>
                </c:pt>
                <c:pt idx="7">
                  <c:v>4.3</c:v>
                </c:pt>
                <c:pt idx="8">
                  <c:v>4.4000000000000004</c:v>
                </c:pt>
                <c:pt idx="9">
                  <c:v>4.5</c:v>
                </c:pt>
              </c:numCache>
            </c:numRef>
          </c:xVal>
          <c:yVal>
            <c:numRef>
              <c:f>Load!$F$46:$F$55</c:f>
              <c:numCache>
                <c:formatCode>General</c:formatCode>
                <c:ptCount val="10"/>
                <c:pt idx="0">
                  <c:v>643.43999999999994</c:v>
                </c:pt>
                <c:pt idx="1">
                  <c:v>632.93999999999994</c:v>
                </c:pt>
                <c:pt idx="2">
                  <c:v>625.38</c:v>
                </c:pt>
                <c:pt idx="3">
                  <c:v>618.24</c:v>
                </c:pt>
                <c:pt idx="4">
                  <c:v>609.41999999999996</c:v>
                </c:pt>
                <c:pt idx="5">
                  <c:v>603.96</c:v>
                </c:pt>
                <c:pt idx="6">
                  <c:v>598.08000000000004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D7-4315-A4AB-EA41ABB8C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71360"/>
        <c:axId val="16642608"/>
      </c:scatterChart>
      <c:valAx>
        <c:axId val="1849871360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608"/>
        <c:crosses val="autoZero"/>
        <c:crossBetween val="midCat"/>
      </c:valAx>
      <c:valAx>
        <c:axId val="166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7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Discharge Performance (Regulated</a:t>
            </a:r>
            <a:r>
              <a:rPr lang="en-US" baseline="0"/>
              <a:t> @ </a:t>
            </a:r>
            <a:r>
              <a:rPr lang="en-US"/>
              <a:t>3.78V)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97072481324452E-2"/>
          <c:y val="0.110645894190198"/>
          <c:w val="0.84426547042196654"/>
          <c:h val="0.661251459925834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'Model-HP35'!$B$1:$B$3</c:f>
              <c:strCache>
                <c:ptCount val="3"/>
                <c:pt idx="0">
                  <c:v>LINEAR REGULATOR</c:v>
                </c:pt>
                <c:pt idx="1">
                  <c:v>Battery Capacity</c:v>
                </c:pt>
                <c:pt idx="2">
                  <c:v>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'Model-HP35'!$A$4:$A$251</c:f>
              <c:numCache>
                <c:formatCode>General</c:formatCode>
                <c:ptCount val="24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20.3000000000001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20.600000000000101</c:v>
                </c:pt>
                <c:pt idx="207">
                  <c:v>20.7</c:v>
                </c:pt>
                <c:pt idx="208">
                  <c:v>20.8000000000001</c:v>
                </c:pt>
                <c:pt idx="209">
                  <c:v>20.900000000000102</c:v>
                </c:pt>
                <c:pt idx="210">
                  <c:v>21.000000000000099</c:v>
                </c:pt>
                <c:pt idx="211">
                  <c:v>21.100000000000101</c:v>
                </c:pt>
                <c:pt idx="212">
                  <c:v>21.200000000000099</c:v>
                </c:pt>
                <c:pt idx="213">
                  <c:v>21.3000000000001</c:v>
                </c:pt>
                <c:pt idx="214">
                  <c:v>21.400000000000102</c:v>
                </c:pt>
                <c:pt idx="215">
                  <c:v>21.500000000000099</c:v>
                </c:pt>
                <c:pt idx="216">
                  <c:v>21.600000000000101</c:v>
                </c:pt>
                <c:pt idx="217">
                  <c:v>21.700000000000099</c:v>
                </c:pt>
                <c:pt idx="218">
                  <c:v>21.8000000000001</c:v>
                </c:pt>
                <c:pt idx="219">
                  <c:v>21.900000000000102</c:v>
                </c:pt>
                <c:pt idx="220">
                  <c:v>22.000000000000099</c:v>
                </c:pt>
                <c:pt idx="221">
                  <c:v>22.100000000000101</c:v>
                </c:pt>
                <c:pt idx="222">
                  <c:v>22.200000000000099</c:v>
                </c:pt>
                <c:pt idx="223">
                  <c:v>22.3000000000001</c:v>
                </c:pt>
                <c:pt idx="224">
                  <c:v>22.400000000000102</c:v>
                </c:pt>
                <c:pt idx="225">
                  <c:v>22.500000000000099</c:v>
                </c:pt>
                <c:pt idx="226">
                  <c:v>22.600000000000101</c:v>
                </c:pt>
                <c:pt idx="227">
                  <c:v>22.700000000000099</c:v>
                </c:pt>
                <c:pt idx="228">
                  <c:v>22.8000000000001</c:v>
                </c:pt>
                <c:pt idx="229">
                  <c:v>22.900000000000102</c:v>
                </c:pt>
                <c:pt idx="230">
                  <c:v>23.000000000000099</c:v>
                </c:pt>
                <c:pt idx="231">
                  <c:v>23.100000000000101</c:v>
                </c:pt>
                <c:pt idx="232">
                  <c:v>23.200000000000099</c:v>
                </c:pt>
                <c:pt idx="233">
                  <c:v>23.3000000000001</c:v>
                </c:pt>
                <c:pt idx="234">
                  <c:v>23.400000000000102</c:v>
                </c:pt>
                <c:pt idx="235">
                  <c:v>23.5</c:v>
                </c:pt>
                <c:pt idx="236">
                  <c:v>23.600000000000101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24.0999999999996</c:v>
                </c:pt>
                <c:pt idx="242">
                  <c:v>24.199999999999498</c:v>
                </c:pt>
                <c:pt idx="243">
                  <c:v>24.2999999999994</c:v>
                </c:pt>
                <c:pt idx="244">
                  <c:v>24.399999999999299</c:v>
                </c:pt>
                <c:pt idx="245">
                  <c:v>24.499999999999201</c:v>
                </c:pt>
                <c:pt idx="246">
                  <c:v>24.599999999999099</c:v>
                </c:pt>
                <c:pt idx="247">
                  <c:v>24.699999999999001</c:v>
                </c:pt>
              </c:numCache>
            </c:numRef>
          </c:xVal>
          <c:yVal>
            <c:numRef>
              <c:f>'Model-HP35'!$B$4:$B$251</c:f>
              <c:numCache>
                <c:formatCode>General</c:formatCode>
                <c:ptCount val="248"/>
                <c:pt idx="0">
                  <c:v>100</c:v>
                </c:pt>
                <c:pt idx="1">
                  <c:v>99.547408499999989</c:v>
                </c:pt>
                <c:pt idx="2">
                  <c:v>99.094816999999992</c:v>
                </c:pt>
                <c:pt idx="3">
                  <c:v>98.642225499999981</c:v>
                </c:pt>
                <c:pt idx="4">
                  <c:v>98.189633999999984</c:v>
                </c:pt>
                <c:pt idx="5">
                  <c:v>97.737042499999973</c:v>
                </c:pt>
                <c:pt idx="6">
                  <c:v>97.284450999999976</c:v>
                </c:pt>
                <c:pt idx="7">
                  <c:v>96.831859499999965</c:v>
                </c:pt>
                <c:pt idx="8">
                  <c:v>96.379267999999954</c:v>
                </c:pt>
                <c:pt idx="9">
                  <c:v>95.926676499999957</c:v>
                </c:pt>
                <c:pt idx="10">
                  <c:v>95.474084999999945</c:v>
                </c:pt>
                <c:pt idx="11">
                  <c:v>95.021493499999949</c:v>
                </c:pt>
                <c:pt idx="12">
                  <c:v>94.568901999999937</c:v>
                </c:pt>
                <c:pt idx="13">
                  <c:v>94.11631049999994</c:v>
                </c:pt>
                <c:pt idx="14">
                  <c:v>93.663718999999944</c:v>
                </c:pt>
                <c:pt idx="15">
                  <c:v>93.211127499999947</c:v>
                </c:pt>
                <c:pt idx="16">
                  <c:v>92.758535999999935</c:v>
                </c:pt>
                <c:pt idx="17">
                  <c:v>92.305944499999939</c:v>
                </c:pt>
                <c:pt idx="18">
                  <c:v>91.853352999999942</c:v>
                </c:pt>
                <c:pt idx="19">
                  <c:v>91.400761499999945</c:v>
                </c:pt>
                <c:pt idx="20">
                  <c:v>90.948169999999934</c:v>
                </c:pt>
                <c:pt idx="21">
                  <c:v>90.495578499999922</c:v>
                </c:pt>
                <c:pt idx="22">
                  <c:v>90.042986999999926</c:v>
                </c:pt>
                <c:pt idx="23">
                  <c:v>89.590395499999929</c:v>
                </c:pt>
                <c:pt idx="24">
                  <c:v>89.137803999999917</c:v>
                </c:pt>
                <c:pt idx="25">
                  <c:v>88.685212499999921</c:v>
                </c:pt>
                <c:pt idx="26">
                  <c:v>88.232620999999909</c:v>
                </c:pt>
                <c:pt idx="27">
                  <c:v>87.780029499999912</c:v>
                </c:pt>
                <c:pt idx="28">
                  <c:v>87.327437999999916</c:v>
                </c:pt>
                <c:pt idx="29">
                  <c:v>86.874846499999919</c:v>
                </c:pt>
                <c:pt idx="30">
                  <c:v>86.422254999999907</c:v>
                </c:pt>
                <c:pt idx="31">
                  <c:v>85.969663499999911</c:v>
                </c:pt>
                <c:pt idx="32">
                  <c:v>85.517071999999899</c:v>
                </c:pt>
                <c:pt idx="33">
                  <c:v>85.064480499999888</c:v>
                </c:pt>
                <c:pt idx="34">
                  <c:v>84.611888999999891</c:v>
                </c:pt>
                <c:pt idx="35">
                  <c:v>84.15929749999988</c:v>
                </c:pt>
                <c:pt idx="36">
                  <c:v>83.706705999999883</c:v>
                </c:pt>
                <c:pt idx="37">
                  <c:v>83.254114499999872</c:v>
                </c:pt>
                <c:pt idx="38">
                  <c:v>82.801522999999889</c:v>
                </c:pt>
                <c:pt idx="39">
                  <c:v>82.348931499999878</c:v>
                </c:pt>
                <c:pt idx="40">
                  <c:v>81.896339999999867</c:v>
                </c:pt>
                <c:pt idx="41">
                  <c:v>81.443748499999884</c:v>
                </c:pt>
                <c:pt idx="42">
                  <c:v>80.991156999999873</c:v>
                </c:pt>
                <c:pt idx="43">
                  <c:v>80.538565499999876</c:v>
                </c:pt>
                <c:pt idx="44">
                  <c:v>80.085973999999865</c:v>
                </c:pt>
                <c:pt idx="45">
                  <c:v>79.633382499999882</c:v>
                </c:pt>
                <c:pt idx="46">
                  <c:v>79.180790999999886</c:v>
                </c:pt>
                <c:pt idx="47">
                  <c:v>78.728199499999889</c:v>
                </c:pt>
                <c:pt idx="48">
                  <c:v>78.275607999999892</c:v>
                </c:pt>
                <c:pt idx="49">
                  <c:v>77.823016499999881</c:v>
                </c:pt>
                <c:pt idx="50">
                  <c:v>77.370424999999884</c:v>
                </c:pt>
                <c:pt idx="51">
                  <c:v>76.917833499999887</c:v>
                </c:pt>
                <c:pt idx="52">
                  <c:v>76.46524199999989</c:v>
                </c:pt>
                <c:pt idx="53">
                  <c:v>76.012650499999893</c:v>
                </c:pt>
                <c:pt idx="54">
                  <c:v>75.560058999999896</c:v>
                </c:pt>
                <c:pt idx="55">
                  <c:v>75.107467499999885</c:v>
                </c:pt>
                <c:pt idx="56">
                  <c:v>74.654875999999902</c:v>
                </c:pt>
                <c:pt idx="57">
                  <c:v>74.202284499999891</c:v>
                </c:pt>
                <c:pt idx="58">
                  <c:v>73.749692999999908</c:v>
                </c:pt>
                <c:pt idx="59">
                  <c:v>73.297101499999897</c:v>
                </c:pt>
                <c:pt idx="60">
                  <c:v>72.8445099999999</c:v>
                </c:pt>
                <c:pt idx="61">
                  <c:v>72.391918499999903</c:v>
                </c:pt>
                <c:pt idx="62">
                  <c:v>71.939326999999892</c:v>
                </c:pt>
                <c:pt idx="63">
                  <c:v>71.486735499999909</c:v>
                </c:pt>
                <c:pt idx="64">
                  <c:v>71.034143999999898</c:v>
                </c:pt>
                <c:pt idx="65">
                  <c:v>70.581552499999916</c:v>
                </c:pt>
                <c:pt idx="66">
                  <c:v>70.128960999999919</c:v>
                </c:pt>
                <c:pt idx="67">
                  <c:v>69.676369499999907</c:v>
                </c:pt>
                <c:pt idx="68">
                  <c:v>69.223777999999911</c:v>
                </c:pt>
                <c:pt idx="69">
                  <c:v>68.771186499999899</c:v>
                </c:pt>
                <c:pt idx="70">
                  <c:v>68.318594999999917</c:v>
                </c:pt>
                <c:pt idx="71">
                  <c:v>67.86600349999992</c:v>
                </c:pt>
                <c:pt idx="72">
                  <c:v>67.413411999999923</c:v>
                </c:pt>
                <c:pt idx="73">
                  <c:v>66.960820499999912</c:v>
                </c:pt>
                <c:pt idx="74">
                  <c:v>66.508228999999915</c:v>
                </c:pt>
                <c:pt idx="75">
                  <c:v>66.055637499999918</c:v>
                </c:pt>
                <c:pt idx="76">
                  <c:v>65.603045999999935</c:v>
                </c:pt>
                <c:pt idx="77">
                  <c:v>65.150454499999924</c:v>
                </c:pt>
                <c:pt idx="78">
                  <c:v>64.697862999999927</c:v>
                </c:pt>
                <c:pt idx="79">
                  <c:v>64.245271499999916</c:v>
                </c:pt>
                <c:pt idx="80">
                  <c:v>63.792679999999926</c:v>
                </c:pt>
                <c:pt idx="81">
                  <c:v>63.340088499999936</c:v>
                </c:pt>
                <c:pt idx="82">
                  <c:v>62.887496999999939</c:v>
                </c:pt>
                <c:pt idx="83">
                  <c:v>62.434905499999935</c:v>
                </c:pt>
                <c:pt idx="84">
                  <c:v>61.982313999999938</c:v>
                </c:pt>
                <c:pt idx="85">
                  <c:v>61.529722499999949</c:v>
                </c:pt>
                <c:pt idx="86">
                  <c:v>61.077130999999952</c:v>
                </c:pt>
                <c:pt idx="87">
                  <c:v>60.624539499999955</c:v>
                </c:pt>
                <c:pt idx="88">
                  <c:v>60.171947999999951</c:v>
                </c:pt>
                <c:pt idx="89">
                  <c:v>59.719356499999954</c:v>
                </c:pt>
                <c:pt idx="90">
                  <c:v>59.266764999999964</c:v>
                </c:pt>
                <c:pt idx="91">
                  <c:v>58.814173499999967</c:v>
                </c:pt>
                <c:pt idx="92">
                  <c:v>58.361581999999977</c:v>
                </c:pt>
                <c:pt idx="93">
                  <c:v>57.908990499999966</c:v>
                </c:pt>
                <c:pt idx="94">
                  <c:v>57.456398999999983</c:v>
                </c:pt>
                <c:pt idx="95">
                  <c:v>57.003807499999979</c:v>
                </c:pt>
                <c:pt idx="96">
                  <c:v>56.551215999999997</c:v>
                </c:pt>
                <c:pt idx="97">
                  <c:v>56.098624499999993</c:v>
                </c:pt>
                <c:pt idx="98">
                  <c:v>55.646032999999981</c:v>
                </c:pt>
                <c:pt idx="99">
                  <c:v>55.193441499999999</c:v>
                </c:pt>
                <c:pt idx="100">
                  <c:v>54.742932590333282</c:v>
                </c:pt>
                <c:pt idx="101">
                  <c:v>54.292442287500251</c:v>
                </c:pt>
                <c:pt idx="102">
                  <c:v>53.841970590732416</c:v>
                </c:pt>
                <c:pt idx="103">
                  <c:v>53.391517499261298</c:v>
                </c:pt>
                <c:pt idx="104">
                  <c:v>52.941083012318479</c:v>
                </c:pt>
                <c:pt idx="105">
                  <c:v>52.490667129135574</c:v>
                </c:pt>
                <c:pt idx="106">
                  <c:v>52.040269848944178</c:v>
                </c:pt>
                <c:pt idx="107">
                  <c:v>51.589891170975967</c:v>
                </c:pt>
                <c:pt idx="108">
                  <c:v>51.13953109446264</c:v>
                </c:pt>
                <c:pt idx="109">
                  <c:v>50.689189618635922</c:v>
                </c:pt>
                <c:pt idx="110">
                  <c:v>50.238866742727573</c:v>
                </c:pt>
                <c:pt idx="111">
                  <c:v>49.790638139049285</c:v>
                </c:pt>
                <c:pt idx="112">
                  <c:v>49.342430030503884</c:v>
                </c:pt>
                <c:pt idx="113">
                  <c:v>48.894242416154235</c:v>
                </c:pt>
                <c:pt idx="114">
                  <c:v>48.44607529506326</c:v>
                </c:pt>
                <c:pt idx="115">
                  <c:v>47.997928666293902</c:v>
                </c:pt>
                <c:pt idx="116">
                  <c:v>47.549802528909154</c:v>
                </c:pt>
                <c:pt idx="117">
                  <c:v>47.101696881972046</c:v>
                </c:pt>
                <c:pt idx="118">
                  <c:v>46.653611724545669</c:v>
                </c:pt>
                <c:pt idx="119">
                  <c:v>46.205547055693145</c:v>
                </c:pt>
                <c:pt idx="120">
                  <c:v>45.757502874477645</c:v>
                </c:pt>
                <c:pt idx="121">
                  <c:v>45.309479179962359</c:v>
                </c:pt>
                <c:pt idx="122">
                  <c:v>44.861475971210552</c:v>
                </c:pt>
                <c:pt idx="123">
                  <c:v>44.413493247285501</c:v>
                </c:pt>
                <c:pt idx="124">
                  <c:v>43.965531007250569</c:v>
                </c:pt>
                <c:pt idx="125">
                  <c:v>43.517589250169124</c:v>
                </c:pt>
                <c:pt idx="126">
                  <c:v>43.071665549338206</c:v>
                </c:pt>
                <c:pt idx="127">
                  <c:v>42.625759881684949</c:v>
                </c:pt>
                <c:pt idx="128">
                  <c:v>42.17987224648008</c:v>
                </c:pt>
                <c:pt idx="129">
                  <c:v>41.734002642994398</c:v>
                </c:pt>
                <c:pt idx="130">
                  <c:v>41.288151070498657</c:v>
                </c:pt>
                <c:pt idx="131">
                  <c:v>40.842317528263713</c:v>
                </c:pt>
                <c:pt idx="132">
                  <c:v>40.396510528458151</c:v>
                </c:pt>
                <c:pt idx="133">
                  <c:v>39.950722880939459</c:v>
                </c:pt>
                <c:pt idx="134">
                  <c:v>39.50495462494434</c:v>
                </c:pt>
                <c:pt idx="135">
                  <c:v>39.059205724307624</c:v>
                </c:pt>
                <c:pt idx="136">
                  <c:v>38.613476178188911</c:v>
                </c:pt>
                <c:pt idx="137">
                  <c:v>38.167766336082799</c:v>
                </c:pt>
                <c:pt idx="138">
                  <c:v>37.722075877442329</c:v>
                </c:pt>
                <c:pt idx="139">
                  <c:v>37.276405172712671</c:v>
                </c:pt>
                <c:pt idx="140">
                  <c:v>36.830753877385156</c:v>
                </c:pt>
                <c:pt idx="141">
                  <c:v>36.385122418395923</c:v>
                </c:pt>
                <c:pt idx="142">
                  <c:v>35.940978202150923</c:v>
                </c:pt>
                <c:pt idx="143">
                  <c:v>35.496855074024367</c:v>
                </c:pt>
                <c:pt idx="144">
                  <c:v>35.052752998246689</c:v>
                </c:pt>
                <c:pt idx="145">
                  <c:v>34.608671973819973</c:v>
                </c:pt>
                <c:pt idx="146">
                  <c:v>34.164612184049894</c:v>
                </c:pt>
                <c:pt idx="147">
                  <c:v>33.720573480974458</c:v>
                </c:pt>
                <c:pt idx="148">
                  <c:v>33.276556082410472</c:v>
                </c:pt>
                <c:pt idx="149">
                  <c:v>32.832559800079231</c:v>
                </c:pt>
                <c:pt idx="150">
                  <c:v>32.388584942292397</c:v>
                </c:pt>
                <c:pt idx="151">
                  <c:v>31.944631233329101</c:v>
                </c:pt>
                <c:pt idx="152">
                  <c:v>31.500699030231093</c:v>
                </c:pt>
                <c:pt idx="153">
                  <c:v>31.056788006661662</c:v>
                </c:pt>
                <c:pt idx="154">
                  <c:v>30.614235117347071</c:v>
                </c:pt>
                <c:pt idx="155">
                  <c:v>30.171713166652729</c:v>
                </c:pt>
                <c:pt idx="156">
                  <c:v>29.729222118500552</c:v>
                </c:pt>
                <c:pt idx="157">
                  <c:v>29.286762110404652</c:v>
                </c:pt>
                <c:pt idx="158">
                  <c:v>28.84433303876208</c:v>
                </c:pt>
                <c:pt idx="159">
                  <c:v>28.40193514767665</c:v>
                </c:pt>
                <c:pt idx="160">
                  <c:v>27.959568232261105</c:v>
                </c:pt>
                <c:pt idx="161">
                  <c:v>27.517232557729514</c:v>
                </c:pt>
                <c:pt idx="162">
                  <c:v>27.074927889442819</c:v>
                </c:pt>
                <c:pt idx="163">
                  <c:v>26.632654225227547</c:v>
                </c:pt>
                <c:pt idx="164">
                  <c:v>26.190411562910459</c:v>
                </c:pt>
                <c:pt idx="165">
                  <c:v>25.74819990031839</c:v>
                </c:pt>
                <c:pt idx="166">
                  <c:v>25.307605347500832</c:v>
                </c:pt>
                <c:pt idx="167">
                  <c:v>24.867062932698854</c:v>
                </c:pt>
                <c:pt idx="168">
                  <c:v>24.426572794796918</c:v>
                </c:pt>
                <c:pt idx="169">
                  <c:v>23.986134837198698</c:v>
                </c:pt>
                <c:pt idx="170">
                  <c:v>23.545749342615967</c:v>
                </c:pt>
                <c:pt idx="171">
                  <c:v>23.105416077994896</c:v>
                </c:pt>
                <c:pt idx="172">
                  <c:v>22.665135037140985</c:v>
                </c:pt>
                <c:pt idx="173">
                  <c:v>22.224906633946407</c:v>
                </c:pt>
                <c:pt idx="174">
                  <c:v>21.784730496938995</c:v>
                </c:pt>
                <c:pt idx="175">
                  <c:v>21.344607009136951</c:v>
                </c:pt>
                <c:pt idx="176">
                  <c:v>20.904535815357953</c:v>
                </c:pt>
                <c:pt idx="177">
                  <c:v>20.466565703087916</c:v>
                </c:pt>
                <c:pt idx="178">
                  <c:v>20.02867206158701</c:v>
                </c:pt>
                <c:pt idx="179">
                  <c:v>19.590854877503261</c:v>
                </c:pt>
                <c:pt idx="180">
                  <c:v>19.153114352654935</c:v>
                </c:pt>
                <c:pt idx="181">
                  <c:v>18.715450328021387</c:v>
                </c:pt>
                <c:pt idx="182">
                  <c:v>18.277863251684053</c:v>
                </c:pt>
                <c:pt idx="183">
                  <c:v>17.840352739294016</c:v>
                </c:pt>
                <c:pt idx="184">
                  <c:v>17.402919421514085</c:v>
                </c:pt>
                <c:pt idx="185">
                  <c:v>16.965562731511042</c:v>
                </c:pt>
                <c:pt idx="186">
                  <c:v>16.528283738325552</c:v>
                </c:pt>
                <c:pt idx="187">
                  <c:v>16.093352271271645</c:v>
                </c:pt>
                <c:pt idx="188">
                  <c:v>15.658510135717052</c:v>
                </c:pt>
                <c:pt idx="189">
                  <c:v>15.223757793158688</c:v>
                </c:pt>
                <c:pt idx="190">
                  <c:v>14.789094940500583</c:v>
                </c:pt>
                <c:pt idx="191">
                  <c:v>14.354522481988038</c:v>
                </c:pt>
                <c:pt idx="192">
                  <c:v>13.920039683225625</c:v>
                </c:pt>
                <c:pt idx="193">
                  <c:v>13.487749203420732</c:v>
                </c:pt>
                <c:pt idx="194">
                  <c:v>13.055571935144011</c:v>
                </c:pt>
                <c:pt idx="195">
                  <c:v>12.623507848746732</c:v>
                </c:pt>
                <c:pt idx="196">
                  <c:v>12.191558061498617</c:v>
                </c:pt>
                <c:pt idx="197">
                  <c:v>11.759721747200484</c:v>
                </c:pt>
                <c:pt idx="198">
                  <c:v>11.328000735644283</c:v>
                </c:pt>
                <c:pt idx="199">
                  <c:v>10.898407809987976</c:v>
                </c:pt>
                <c:pt idx="200">
                  <c:v>10.469018281814435</c:v>
                </c:pt>
                <c:pt idx="201">
                  <c:v>10.039831686477969</c:v>
                </c:pt>
                <c:pt idx="202">
                  <c:v>9.6108479280709513</c:v>
                </c:pt>
                <c:pt idx="203">
                  <c:v>9.1820706424960257</c:v>
                </c:pt>
                <c:pt idx="204">
                  <c:v>8.7534968514996265</c:v>
                </c:pt>
                <c:pt idx="205">
                  <c:v>8.3276603031628245</c:v>
                </c:pt>
                <c:pt idx="206">
                  <c:v>7.9021996077698127</c:v>
                </c:pt>
                <c:pt idx="207">
                  <c:v>7.4771183819900822</c:v>
                </c:pt>
                <c:pt idx="208">
                  <c:v>7.0524137544338537</c:v>
                </c:pt>
                <c:pt idx="209">
                  <c:v>6.628085391457418</c:v>
                </c:pt>
                <c:pt idx="210">
                  <c:v>6.2068499348520723</c:v>
                </c:pt>
                <c:pt idx="211">
                  <c:v>5.786185974198812</c:v>
                </c:pt>
                <c:pt idx="212">
                  <c:v>5.3684594444861462</c:v>
                </c:pt>
                <c:pt idx="213">
                  <c:v>4.9520398996918802</c:v>
                </c:pt>
                <c:pt idx="214">
                  <c:v>4.5369484954009778</c:v>
                </c:pt>
                <c:pt idx="215">
                  <c:v>4.1250155885547652</c:v>
                </c:pt>
                <c:pt idx="216">
                  <c:v>3.7185089449420601</c:v>
                </c:pt>
                <c:pt idx="217">
                  <c:v>3.3178604861635632</c:v>
                </c:pt>
                <c:pt idx="218">
                  <c:v>2.9073905648791474</c:v>
                </c:pt>
                <c:pt idx="219">
                  <c:v>2.4925538942705718</c:v>
                </c:pt>
                <c:pt idx="220">
                  <c:v>2.0909747541774366</c:v>
                </c:pt>
                <c:pt idx="221">
                  <c:v>1.6958230365382718</c:v>
                </c:pt>
                <c:pt idx="222">
                  <c:v>1.299357690180162</c:v>
                </c:pt>
                <c:pt idx="223">
                  <c:v>0.91059138865290201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F0-4A21-A58A-8D6B2C2289EF}"/>
            </c:ext>
          </c:extLst>
        </c:ser>
        <c:ser>
          <c:idx val="3"/>
          <c:order val="3"/>
          <c:tx>
            <c:strRef>
              <c:f>'Model-HP35'!$H$1:$H$3</c:f>
              <c:strCache>
                <c:ptCount val="3"/>
                <c:pt idx="0">
                  <c:v>LINEAR REGULATOR</c:v>
                </c:pt>
                <c:pt idx="1">
                  <c:v>Load current</c:v>
                </c:pt>
                <c:pt idx="2">
                  <c:v>mA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'Model-HP35'!$A$4:$A$251</c:f>
              <c:numCache>
                <c:formatCode>General</c:formatCode>
                <c:ptCount val="24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20.3000000000001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20.600000000000101</c:v>
                </c:pt>
                <c:pt idx="207">
                  <c:v>20.7</c:v>
                </c:pt>
                <c:pt idx="208">
                  <c:v>20.8000000000001</c:v>
                </c:pt>
                <c:pt idx="209">
                  <c:v>20.900000000000102</c:v>
                </c:pt>
                <c:pt idx="210">
                  <c:v>21.000000000000099</c:v>
                </c:pt>
                <c:pt idx="211">
                  <c:v>21.100000000000101</c:v>
                </c:pt>
                <c:pt idx="212">
                  <c:v>21.200000000000099</c:v>
                </c:pt>
                <c:pt idx="213">
                  <c:v>21.3000000000001</c:v>
                </c:pt>
                <c:pt idx="214">
                  <c:v>21.400000000000102</c:v>
                </c:pt>
                <c:pt idx="215">
                  <c:v>21.500000000000099</c:v>
                </c:pt>
                <c:pt idx="216">
                  <c:v>21.600000000000101</c:v>
                </c:pt>
                <c:pt idx="217">
                  <c:v>21.700000000000099</c:v>
                </c:pt>
                <c:pt idx="218">
                  <c:v>21.8000000000001</c:v>
                </c:pt>
                <c:pt idx="219">
                  <c:v>21.900000000000102</c:v>
                </c:pt>
                <c:pt idx="220">
                  <c:v>22.000000000000099</c:v>
                </c:pt>
                <c:pt idx="221">
                  <c:v>22.100000000000101</c:v>
                </c:pt>
                <c:pt idx="222">
                  <c:v>22.200000000000099</c:v>
                </c:pt>
                <c:pt idx="223">
                  <c:v>22.3000000000001</c:v>
                </c:pt>
                <c:pt idx="224">
                  <c:v>22.400000000000102</c:v>
                </c:pt>
                <c:pt idx="225">
                  <c:v>22.500000000000099</c:v>
                </c:pt>
                <c:pt idx="226">
                  <c:v>22.600000000000101</c:v>
                </c:pt>
                <c:pt idx="227">
                  <c:v>22.700000000000099</c:v>
                </c:pt>
                <c:pt idx="228">
                  <c:v>22.8000000000001</c:v>
                </c:pt>
                <c:pt idx="229">
                  <c:v>22.900000000000102</c:v>
                </c:pt>
                <c:pt idx="230">
                  <c:v>23.000000000000099</c:v>
                </c:pt>
                <c:pt idx="231">
                  <c:v>23.100000000000101</c:v>
                </c:pt>
                <c:pt idx="232">
                  <c:v>23.200000000000099</c:v>
                </c:pt>
                <c:pt idx="233">
                  <c:v>23.3000000000001</c:v>
                </c:pt>
                <c:pt idx="234">
                  <c:v>23.400000000000102</c:v>
                </c:pt>
                <c:pt idx="235">
                  <c:v>23.5</c:v>
                </c:pt>
                <c:pt idx="236">
                  <c:v>23.600000000000101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24.0999999999996</c:v>
                </c:pt>
                <c:pt idx="242">
                  <c:v>24.199999999999498</c:v>
                </c:pt>
                <c:pt idx="243">
                  <c:v>24.2999999999994</c:v>
                </c:pt>
                <c:pt idx="244">
                  <c:v>24.399999999999299</c:v>
                </c:pt>
                <c:pt idx="245">
                  <c:v>24.499999999999201</c:v>
                </c:pt>
                <c:pt idx="246">
                  <c:v>24.599999999999099</c:v>
                </c:pt>
                <c:pt idx="247">
                  <c:v>24.699999999999001</c:v>
                </c:pt>
              </c:numCache>
            </c:numRef>
          </c:xVal>
          <c:yVal>
            <c:numRef>
              <c:f>'Model-HP35'!$H$4:$H$251</c:f>
              <c:numCache>
                <c:formatCode>General</c:formatCode>
                <c:ptCount val="248"/>
                <c:pt idx="0">
                  <c:v>90.518299999999996</c:v>
                </c:pt>
                <c:pt idx="1">
                  <c:v>90.518299999999996</c:v>
                </c:pt>
                <c:pt idx="2">
                  <c:v>90.518299999999996</c:v>
                </c:pt>
                <c:pt idx="3">
                  <c:v>90.518299999999996</c:v>
                </c:pt>
                <c:pt idx="4">
                  <c:v>90.518299999999996</c:v>
                </c:pt>
                <c:pt idx="5">
                  <c:v>90.518299999999996</c:v>
                </c:pt>
                <c:pt idx="6">
                  <c:v>90.518299999999996</c:v>
                </c:pt>
                <c:pt idx="7">
                  <c:v>90.518299999999996</c:v>
                </c:pt>
                <c:pt idx="8">
                  <c:v>90.518299999999996</c:v>
                </c:pt>
                <c:pt idx="9">
                  <c:v>90.518299999999996</c:v>
                </c:pt>
                <c:pt idx="10">
                  <c:v>90.518299999999996</c:v>
                </c:pt>
                <c:pt idx="11">
                  <c:v>90.518299999999996</c:v>
                </c:pt>
                <c:pt idx="12">
                  <c:v>90.518299999999996</c:v>
                </c:pt>
                <c:pt idx="13">
                  <c:v>90.518299999999996</c:v>
                </c:pt>
                <c:pt idx="14">
                  <c:v>90.518299999999996</c:v>
                </c:pt>
                <c:pt idx="15">
                  <c:v>90.518299999999996</c:v>
                </c:pt>
                <c:pt idx="16">
                  <c:v>90.518299999999996</c:v>
                </c:pt>
                <c:pt idx="17">
                  <c:v>90.518299999999996</c:v>
                </c:pt>
                <c:pt idx="18">
                  <c:v>90.518299999999996</c:v>
                </c:pt>
                <c:pt idx="19">
                  <c:v>90.518299999999996</c:v>
                </c:pt>
                <c:pt idx="20">
                  <c:v>90.518299999999996</c:v>
                </c:pt>
                <c:pt idx="21">
                  <c:v>90.518299999999996</c:v>
                </c:pt>
                <c:pt idx="22">
                  <c:v>90.518299999999996</c:v>
                </c:pt>
                <c:pt idx="23">
                  <c:v>90.518299999999996</c:v>
                </c:pt>
                <c:pt idx="24">
                  <c:v>90.518299999999996</c:v>
                </c:pt>
                <c:pt idx="25">
                  <c:v>90.518299999999996</c:v>
                </c:pt>
                <c:pt idx="26">
                  <c:v>90.518299999999996</c:v>
                </c:pt>
                <c:pt idx="27">
                  <c:v>90.518299999999996</c:v>
                </c:pt>
                <c:pt idx="28">
                  <c:v>90.518299999999996</c:v>
                </c:pt>
                <c:pt idx="29">
                  <c:v>90.518299999999996</c:v>
                </c:pt>
                <c:pt idx="30">
                  <c:v>90.518299999999996</c:v>
                </c:pt>
                <c:pt idx="31">
                  <c:v>90.518299999999996</c:v>
                </c:pt>
                <c:pt idx="32">
                  <c:v>90.518299999999996</c:v>
                </c:pt>
                <c:pt idx="33">
                  <c:v>90.518299999999996</c:v>
                </c:pt>
                <c:pt idx="34">
                  <c:v>90.518299999999996</c:v>
                </c:pt>
                <c:pt idx="35">
                  <c:v>90.518299999999996</c:v>
                </c:pt>
                <c:pt idx="36">
                  <c:v>90.518299999999996</c:v>
                </c:pt>
                <c:pt idx="37">
                  <c:v>90.518299999999996</c:v>
                </c:pt>
                <c:pt idx="38">
                  <c:v>90.518299999999996</c:v>
                </c:pt>
                <c:pt idx="39">
                  <c:v>90.518299999999996</c:v>
                </c:pt>
                <c:pt idx="40">
                  <c:v>90.518299999999996</c:v>
                </c:pt>
                <c:pt idx="41">
                  <c:v>90.518299999999996</c:v>
                </c:pt>
                <c:pt idx="42">
                  <c:v>90.518299999999996</c:v>
                </c:pt>
                <c:pt idx="43">
                  <c:v>90.518299999999996</c:v>
                </c:pt>
                <c:pt idx="44">
                  <c:v>90.518299999999996</c:v>
                </c:pt>
                <c:pt idx="45">
                  <c:v>90.518299999999996</c:v>
                </c:pt>
                <c:pt idx="46">
                  <c:v>90.518299999999996</c:v>
                </c:pt>
                <c:pt idx="47">
                  <c:v>90.518299999999996</c:v>
                </c:pt>
                <c:pt idx="48">
                  <c:v>90.518299999999996</c:v>
                </c:pt>
                <c:pt idx="49">
                  <c:v>90.518299999999996</c:v>
                </c:pt>
                <c:pt idx="50">
                  <c:v>90.518299999999996</c:v>
                </c:pt>
                <c:pt idx="51">
                  <c:v>90.518299999999996</c:v>
                </c:pt>
                <c:pt idx="52">
                  <c:v>90.518299999999996</c:v>
                </c:pt>
                <c:pt idx="53">
                  <c:v>90.518299999999996</c:v>
                </c:pt>
                <c:pt idx="54">
                  <c:v>90.518299999999996</c:v>
                </c:pt>
                <c:pt idx="55">
                  <c:v>90.518299999999996</c:v>
                </c:pt>
                <c:pt idx="56">
                  <c:v>90.518299999999996</c:v>
                </c:pt>
                <c:pt idx="57">
                  <c:v>90.518299999999996</c:v>
                </c:pt>
                <c:pt idx="58">
                  <c:v>90.518299999999996</c:v>
                </c:pt>
                <c:pt idx="59">
                  <c:v>90.518299999999996</c:v>
                </c:pt>
                <c:pt idx="60">
                  <c:v>90.518299999999996</c:v>
                </c:pt>
                <c:pt idx="61">
                  <c:v>90.518299999999996</c:v>
                </c:pt>
                <c:pt idx="62">
                  <c:v>90.518299999999996</c:v>
                </c:pt>
                <c:pt idx="63">
                  <c:v>90.518299999999996</c:v>
                </c:pt>
                <c:pt idx="64">
                  <c:v>90.518299999999996</c:v>
                </c:pt>
                <c:pt idx="65">
                  <c:v>90.518299999999996</c:v>
                </c:pt>
                <c:pt idx="66">
                  <c:v>90.518299999999996</c:v>
                </c:pt>
                <c:pt idx="67">
                  <c:v>90.518299999999996</c:v>
                </c:pt>
                <c:pt idx="68">
                  <c:v>90.518299999999996</c:v>
                </c:pt>
                <c:pt idx="69">
                  <c:v>90.518299999999996</c:v>
                </c:pt>
                <c:pt idx="70">
                  <c:v>90.518299999999996</c:v>
                </c:pt>
                <c:pt idx="71">
                  <c:v>90.518299999999996</c:v>
                </c:pt>
                <c:pt idx="72">
                  <c:v>90.518299999999996</c:v>
                </c:pt>
                <c:pt idx="73">
                  <c:v>90.518299999999996</c:v>
                </c:pt>
                <c:pt idx="74">
                  <c:v>90.518299999999996</c:v>
                </c:pt>
                <c:pt idx="75">
                  <c:v>90.518299999999996</c:v>
                </c:pt>
                <c:pt idx="76">
                  <c:v>90.518299999999996</c:v>
                </c:pt>
                <c:pt idx="77">
                  <c:v>90.518299999999996</c:v>
                </c:pt>
                <c:pt idx="78">
                  <c:v>90.518299999999996</c:v>
                </c:pt>
                <c:pt idx="79">
                  <c:v>90.518299999999996</c:v>
                </c:pt>
                <c:pt idx="80">
                  <c:v>90.518299999999996</c:v>
                </c:pt>
                <c:pt idx="81">
                  <c:v>90.518299999999996</c:v>
                </c:pt>
                <c:pt idx="82">
                  <c:v>90.518299999999996</c:v>
                </c:pt>
                <c:pt idx="83">
                  <c:v>90.518299999999996</c:v>
                </c:pt>
                <c:pt idx="84">
                  <c:v>90.518299999999996</c:v>
                </c:pt>
                <c:pt idx="85">
                  <c:v>90.518299999999996</c:v>
                </c:pt>
                <c:pt idx="86">
                  <c:v>90.518299999999996</c:v>
                </c:pt>
                <c:pt idx="87">
                  <c:v>90.518299999999996</c:v>
                </c:pt>
                <c:pt idx="88">
                  <c:v>90.518299999999996</c:v>
                </c:pt>
                <c:pt idx="89">
                  <c:v>90.518299999999996</c:v>
                </c:pt>
                <c:pt idx="90">
                  <c:v>90.518299999999996</c:v>
                </c:pt>
                <c:pt idx="91">
                  <c:v>90.518299999999996</c:v>
                </c:pt>
                <c:pt idx="92">
                  <c:v>90.518299999999996</c:v>
                </c:pt>
                <c:pt idx="93">
                  <c:v>90.518299999999996</c:v>
                </c:pt>
                <c:pt idx="94">
                  <c:v>90.518299999999996</c:v>
                </c:pt>
                <c:pt idx="95">
                  <c:v>90.518299999999996</c:v>
                </c:pt>
                <c:pt idx="96">
                  <c:v>90.518299999999996</c:v>
                </c:pt>
                <c:pt idx="97">
                  <c:v>90.518299999999996</c:v>
                </c:pt>
                <c:pt idx="98">
                  <c:v>90.518299999999996</c:v>
                </c:pt>
                <c:pt idx="99">
                  <c:v>90.101781933343489</c:v>
                </c:pt>
                <c:pt idx="100">
                  <c:v>90.098060566605938</c:v>
                </c:pt>
                <c:pt idx="101">
                  <c:v>90.094339353567577</c:v>
                </c:pt>
                <c:pt idx="102">
                  <c:v>90.090618294222025</c:v>
                </c:pt>
                <c:pt idx="103">
                  <c:v>90.086897388562988</c:v>
                </c:pt>
                <c:pt idx="104">
                  <c:v>90.083176636584085</c:v>
                </c:pt>
                <c:pt idx="105">
                  <c:v>90.079456038278977</c:v>
                </c:pt>
                <c:pt idx="106">
                  <c:v>90.075735593641312</c:v>
                </c:pt>
                <c:pt idx="107">
                  <c:v>90.072015302664752</c:v>
                </c:pt>
                <c:pt idx="108">
                  <c:v>90.068295165342931</c:v>
                </c:pt>
                <c:pt idx="109">
                  <c:v>90.064575181669539</c:v>
                </c:pt>
                <c:pt idx="110">
                  <c:v>89.645720735658614</c:v>
                </c:pt>
                <c:pt idx="111">
                  <c:v>89.641621709080255</c:v>
                </c:pt>
                <c:pt idx="112">
                  <c:v>89.637522869928802</c:v>
                </c:pt>
                <c:pt idx="113">
                  <c:v>89.633424218195671</c:v>
                </c:pt>
                <c:pt idx="114">
                  <c:v>89.62932575387228</c:v>
                </c:pt>
                <c:pt idx="115">
                  <c:v>89.625227476950087</c:v>
                </c:pt>
                <c:pt idx="116">
                  <c:v>89.621129387420496</c:v>
                </c:pt>
                <c:pt idx="117">
                  <c:v>89.617031485274964</c:v>
                </c:pt>
                <c:pt idx="118">
                  <c:v>89.61293377050491</c:v>
                </c:pt>
                <c:pt idx="119">
                  <c:v>89.608836243101763</c:v>
                </c:pt>
                <c:pt idx="120">
                  <c:v>89.604738903056955</c:v>
                </c:pt>
                <c:pt idx="121">
                  <c:v>89.600641750361916</c:v>
                </c:pt>
                <c:pt idx="122">
                  <c:v>89.596544785008106</c:v>
                </c:pt>
                <c:pt idx="123">
                  <c:v>89.592448006986942</c:v>
                </c:pt>
                <c:pt idx="124">
                  <c:v>89.588351416289839</c:v>
                </c:pt>
                <c:pt idx="125">
                  <c:v>89.184740166183346</c:v>
                </c:pt>
                <c:pt idx="126">
                  <c:v>89.181133530651337</c:v>
                </c:pt>
                <c:pt idx="127">
                  <c:v>89.177527040971881</c:v>
                </c:pt>
                <c:pt idx="128">
                  <c:v>89.173920697139039</c:v>
                </c:pt>
                <c:pt idx="129">
                  <c:v>89.170314499146926</c:v>
                </c:pt>
                <c:pt idx="130">
                  <c:v>89.166708446989659</c:v>
                </c:pt>
                <c:pt idx="131">
                  <c:v>89.161399961112153</c:v>
                </c:pt>
                <c:pt idx="132">
                  <c:v>89.157529503737749</c:v>
                </c:pt>
                <c:pt idx="133">
                  <c:v>89.153651199023713</c:v>
                </c:pt>
                <c:pt idx="134">
                  <c:v>89.149780127342211</c:v>
                </c:pt>
                <c:pt idx="135">
                  <c:v>89.145909223743516</c:v>
                </c:pt>
                <c:pt idx="136">
                  <c:v>89.141968421222799</c:v>
                </c:pt>
                <c:pt idx="137">
                  <c:v>89.138091728092533</c:v>
                </c:pt>
                <c:pt idx="138">
                  <c:v>89.134140945932785</c:v>
                </c:pt>
                <c:pt idx="139">
                  <c:v>89.130259065502372</c:v>
                </c:pt>
                <c:pt idx="140">
                  <c:v>89.126291797847188</c:v>
                </c:pt>
                <c:pt idx="141">
                  <c:v>88.82884324900057</c:v>
                </c:pt>
                <c:pt idx="142">
                  <c:v>88.824625625311825</c:v>
                </c:pt>
                <c:pt idx="143">
                  <c:v>88.820415155535542</c:v>
                </c:pt>
                <c:pt idx="144">
                  <c:v>88.816204885344192</c:v>
                </c:pt>
                <c:pt idx="145">
                  <c:v>88.811957954015838</c:v>
                </c:pt>
                <c:pt idx="146">
                  <c:v>88.807740615086516</c:v>
                </c:pt>
                <c:pt idx="147">
                  <c:v>88.80347971279528</c:v>
                </c:pt>
                <c:pt idx="148">
                  <c:v>88.799256466248764</c:v>
                </c:pt>
                <c:pt idx="149">
                  <c:v>88.794971557366424</c:v>
                </c:pt>
                <c:pt idx="150">
                  <c:v>88.790741792658906</c:v>
                </c:pt>
                <c:pt idx="151">
                  <c:v>88.78644061960145</c:v>
                </c:pt>
                <c:pt idx="152">
                  <c:v>88.782204713885776</c:v>
                </c:pt>
                <c:pt idx="153">
                  <c:v>88.510577862918481</c:v>
                </c:pt>
                <c:pt idx="154">
                  <c:v>88.504390138869454</c:v>
                </c:pt>
                <c:pt idx="155">
                  <c:v>88.498209630435056</c:v>
                </c:pt>
                <c:pt idx="156">
                  <c:v>88.492001619180257</c:v>
                </c:pt>
                <c:pt idx="157">
                  <c:v>88.485814328512063</c:v>
                </c:pt>
                <c:pt idx="158">
                  <c:v>88.479578217088147</c:v>
                </c:pt>
                <c:pt idx="159">
                  <c:v>88.473383083108288</c:v>
                </c:pt>
                <c:pt idx="160">
                  <c:v>88.467134906317213</c:v>
                </c:pt>
                <c:pt idx="161">
                  <c:v>88.460933657341556</c:v>
                </c:pt>
                <c:pt idx="162">
                  <c:v>88.454732843052625</c:v>
                </c:pt>
                <c:pt idx="163">
                  <c:v>88.448532463419937</c:v>
                </c:pt>
                <c:pt idx="164">
                  <c:v>88.442332518413039</c:v>
                </c:pt>
                <c:pt idx="165">
                  <c:v>88.118910563510298</c:v>
                </c:pt>
                <c:pt idx="166">
                  <c:v>88.108482960397097</c:v>
                </c:pt>
                <c:pt idx="167">
                  <c:v>88.098027580385946</c:v>
                </c:pt>
                <c:pt idx="168">
                  <c:v>88.087591519646409</c:v>
                </c:pt>
                <c:pt idx="169">
                  <c:v>88.077098916544088</c:v>
                </c:pt>
                <c:pt idx="170">
                  <c:v>88.066652924213628</c:v>
                </c:pt>
                <c:pt idx="171">
                  <c:v>88.05620817078362</c:v>
                </c:pt>
                <c:pt idx="172">
                  <c:v>88.045680638914618</c:v>
                </c:pt>
                <c:pt idx="173">
                  <c:v>88.035227401484349</c:v>
                </c:pt>
                <c:pt idx="174">
                  <c:v>88.024697560407247</c:v>
                </c:pt>
                <c:pt idx="175">
                  <c:v>88.014238755798644</c:v>
                </c:pt>
                <c:pt idx="176">
                  <c:v>87.594022454008368</c:v>
                </c:pt>
                <c:pt idx="177">
                  <c:v>87.57872830017979</c:v>
                </c:pt>
                <c:pt idx="178">
                  <c:v>87.563436816751917</c:v>
                </c:pt>
                <c:pt idx="179">
                  <c:v>87.54810496966391</c:v>
                </c:pt>
                <c:pt idx="180">
                  <c:v>87.532804926709133</c:v>
                </c:pt>
                <c:pt idx="181">
                  <c:v>87.517415267468166</c:v>
                </c:pt>
                <c:pt idx="182">
                  <c:v>87.502102478006108</c:v>
                </c:pt>
                <c:pt idx="183">
                  <c:v>87.486663555988287</c:v>
                </c:pt>
                <c:pt idx="184">
                  <c:v>87.471338000607005</c:v>
                </c:pt>
                <c:pt idx="185">
                  <c:v>87.455798637096976</c:v>
                </c:pt>
                <c:pt idx="186">
                  <c:v>86.986293410783588</c:v>
                </c:pt>
                <c:pt idx="187">
                  <c:v>86.968427110917517</c:v>
                </c:pt>
                <c:pt idx="188">
                  <c:v>86.950468511674245</c:v>
                </c:pt>
                <c:pt idx="189">
                  <c:v>86.932570531619518</c:v>
                </c:pt>
                <c:pt idx="190">
                  <c:v>86.914491702507959</c:v>
                </c:pt>
                <c:pt idx="191">
                  <c:v>86.896559752484606</c:v>
                </c:pt>
                <c:pt idx="192">
                  <c:v>86.458095960977502</c:v>
                </c:pt>
                <c:pt idx="193">
                  <c:v>86.435453655346095</c:v>
                </c:pt>
                <c:pt idx="194">
                  <c:v>86.412817279454373</c:v>
                </c:pt>
                <c:pt idx="195">
                  <c:v>86.389957449621747</c:v>
                </c:pt>
                <c:pt idx="196">
                  <c:v>86.367262859628369</c:v>
                </c:pt>
                <c:pt idx="197">
                  <c:v>86.344202311239144</c:v>
                </c:pt>
                <c:pt idx="198">
                  <c:v>85.918585131263228</c:v>
                </c:pt>
                <c:pt idx="199">
                  <c:v>85.877905634706806</c:v>
                </c:pt>
                <c:pt idx="200">
                  <c:v>85.837319067291943</c:v>
                </c:pt>
                <c:pt idx="201">
                  <c:v>85.796751681405112</c:v>
                </c:pt>
                <c:pt idx="202">
                  <c:v>85.755457114898903</c:v>
                </c:pt>
                <c:pt idx="203">
                  <c:v>85.714758199366898</c:v>
                </c:pt>
                <c:pt idx="204">
                  <c:v>85.16730966735922</c:v>
                </c:pt>
                <c:pt idx="205">
                  <c:v>85.092139078516496</c:v>
                </c:pt>
                <c:pt idx="206">
                  <c:v>85.016245156032468</c:v>
                </c:pt>
                <c:pt idx="207">
                  <c:v>84.940925511159875</c:v>
                </c:pt>
                <c:pt idx="208">
                  <c:v>84.865672595285744</c:v>
                </c:pt>
                <c:pt idx="209">
                  <c:v>84.24709132107111</c:v>
                </c:pt>
                <c:pt idx="210">
                  <c:v>84.132792130650785</c:v>
                </c:pt>
                <c:pt idx="211">
                  <c:v>83.545305942535009</c:v>
                </c:pt>
                <c:pt idx="212">
                  <c:v>83.283908958851839</c:v>
                </c:pt>
                <c:pt idx="213">
                  <c:v>83.018280858179395</c:v>
                </c:pt>
                <c:pt idx="214">
                  <c:v>82.386581369244226</c:v>
                </c:pt>
                <c:pt idx="215">
                  <c:v>81.301328722539893</c:v>
                </c:pt>
                <c:pt idx="216">
                  <c:v>80.129691755701074</c:v>
                </c:pt>
                <c:pt idx="217">
                  <c:v>82.093984256881953</c:v>
                </c:pt>
                <c:pt idx="218">
                  <c:v>82.967334121713961</c:v>
                </c:pt>
                <c:pt idx="219">
                  <c:v>80.315828018628821</c:v>
                </c:pt>
                <c:pt idx="220">
                  <c:v>79.030343527831846</c:v>
                </c:pt>
                <c:pt idx="221">
                  <c:v>79.293069271623636</c:v>
                </c:pt>
                <c:pt idx="222">
                  <c:v>77.753260305450908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9F0-4A21-A58A-8D6B2C228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30240"/>
        <c:axId val="1878198880"/>
      </c:scatterChart>
      <c:scatterChart>
        <c:scatterStyle val="lineMarker"/>
        <c:varyColors val="0"/>
        <c:ser>
          <c:idx val="1"/>
          <c:order val="1"/>
          <c:tx>
            <c:strRef>
              <c:f>'Model-HP35'!$E$1:$E$3</c:f>
              <c:strCache>
                <c:ptCount val="3"/>
                <c:pt idx="0">
                  <c:v>LINEAR REGULATOR</c:v>
                </c:pt>
                <c:pt idx="1">
                  <c:v>Battery Voltage</c:v>
                </c:pt>
                <c:pt idx="2">
                  <c:v>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'Model-HP35'!$A$4:$A$251</c:f>
              <c:numCache>
                <c:formatCode>General</c:formatCode>
                <c:ptCount val="24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20.3000000000001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20.600000000000101</c:v>
                </c:pt>
                <c:pt idx="207">
                  <c:v>20.7</c:v>
                </c:pt>
                <c:pt idx="208">
                  <c:v>20.8000000000001</c:v>
                </c:pt>
                <c:pt idx="209">
                  <c:v>20.900000000000102</c:v>
                </c:pt>
                <c:pt idx="210">
                  <c:v>21.000000000000099</c:v>
                </c:pt>
                <c:pt idx="211">
                  <c:v>21.100000000000101</c:v>
                </c:pt>
                <c:pt idx="212">
                  <c:v>21.200000000000099</c:v>
                </c:pt>
                <c:pt idx="213">
                  <c:v>21.3000000000001</c:v>
                </c:pt>
                <c:pt idx="214">
                  <c:v>21.400000000000102</c:v>
                </c:pt>
                <c:pt idx="215">
                  <c:v>21.500000000000099</c:v>
                </c:pt>
                <c:pt idx="216">
                  <c:v>21.600000000000101</c:v>
                </c:pt>
                <c:pt idx="217">
                  <c:v>21.700000000000099</c:v>
                </c:pt>
                <c:pt idx="218">
                  <c:v>21.8000000000001</c:v>
                </c:pt>
                <c:pt idx="219">
                  <c:v>21.900000000000102</c:v>
                </c:pt>
                <c:pt idx="220">
                  <c:v>22.000000000000099</c:v>
                </c:pt>
                <c:pt idx="221">
                  <c:v>22.100000000000101</c:v>
                </c:pt>
                <c:pt idx="222">
                  <c:v>22.200000000000099</c:v>
                </c:pt>
                <c:pt idx="223">
                  <c:v>22.3000000000001</c:v>
                </c:pt>
                <c:pt idx="224">
                  <c:v>22.400000000000102</c:v>
                </c:pt>
                <c:pt idx="225">
                  <c:v>22.500000000000099</c:v>
                </c:pt>
                <c:pt idx="226">
                  <c:v>22.600000000000101</c:v>
                </c:pt>
                <c:pt idx="227">
                  <c:v>22.700000000000099</c:v>
                </c:pt>
                <c:pt idx="228">
                  <c:v>22.8000000000001</c:v>
                </c:pt>
                <c:pt idx="229">
                  <c:v>22.900000000000102</c:v>
                </c:pt>
                <c:pt idx="230">
                  <c:v>23.000000000000099</c:v>
                </c:pt>
                <c:pt idx="231">
                  <c:v>23.100000000000101</c:v>
                </c:pt>
                <c:pt idx="232">
                  <c:v>23.200000000000099</c:v>
                </c:pt>
                <c:pt idx="233">
                  <c:v>23.3000000000001</c:v>
                </c:pt>
                <c:pt idx="234">
                  <c:v>23.400000000000102</c:v>
                </c:pt>
                <c:pt idx="235">
                  <c:v>23.5</c:v>
                </c:pt>
                <c:pt idx="236">
                  <c:v>23.600000000000101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24.0999999999996</c:v>
                </c:pt>
                <c:pt idx="242">
                  <c:v>24.199999999999498</c:v>
                </c:pt>
                <c:pt idx="243">
                  <c:v>24.2999999999994</c:v>
                </c:pt>
                <c:pt idx="244">
                  <c:v>24.399999999999299</c:v>
                </c:pt>
                <c:pt idx="245">
                  <c:v>24.499999999999201</c:v>
                </c:pt>
                <c:pt idx="246">
                  <c:v>24.599999999999099</c:v>
                </c:pt>
                <c:pt idx="247">
                  <c:v>24.699999999999001</c:v>
                </c:pt>
              </c:numCache>
            </c:numRef>
          </c:xVal>
          <c:yVal>
            <c:numRef>
              <c:f>'Model-HP35'!$E$4:$E$251</c:f>
              <c:numCache>
                <c:formatCode>General</c:formatCode>
                <c:ptCount val="248"/>
                <c:pt idx="0">
                  <c:v>4.2</c:v>
                </c:pt>
                <c:pt idx="1">
                  <c:v>4.1577486241041655</c:v>
                </c:pt>
                <c:pt idx="2">
                  <c:v>4.1576633580022397</c:v>
                </c:pt>
                <c:pt idx="3">
                  <c:v>4.1389521575854893</c:v>
                </c:pt>
                <c:pt idx="4">
                  <c:v>4.1388805803097224</c:v>
                </c:pt>
                <c:pt idx="5">
                  <c:v>4.1233280254213618</c:v>
                </c:pt>
                <c:pt idx="6">
                  <c:v>4.1155275075556297</c:v>
                </c:pt>
                <c:pt idx="7">
                  <c:v>4.1154693045429962</c:v>
                </c:pt>
                <c:pt idx="8">
                  <c:v>4.1154111015303627</c:v>
                </c:pt>
                <c:pt idx="9">
                  <c:v>4.1029316648421847</c:v>
                </c:pt>
                <c:pt idx="10">
                  <c:v>4.1028435029102992</c:v>
                </c:pt>
                <c:pt idx="11">
                  <c:v>4.1027553409784137</c:v>
                </c:pt>
                <c:pt idx="12">
                  <c:v>4.0841589717690976</c:v>
                </c:pt>
                <c:pt idx="13">
                  <c:v>4.0839572593548752</c:v>
                </c:pt>
                <c:pt idx="14">
                  <c:v>4.0837555469406528</c:v>
                </c:pt>
                <c:pt idx="15">
                  <c:v>4.0835538345264295</c:v>
                </c:pt>
                <c:pt idx="16">
                  <c:v>4.0833521221122071</c:v>
                </c:pt>
                <c:pt idx="17">
                  <c:v>4.0831504096979847</c:v>
                </c:pt>
                <c:pt idx="18">
                  <c:v>4.0829486972837614</c:v>
                </c:pt>
                <c:pt idx="19">
                  <c:v>4.082746984869539</c:v>
                </c:pt>
                <c:pt idx="20">
                  <c:v>4.0825452724553166</c:v>
                </c:pt>
                <c:pt idx="21">
                  <c:v>4.0419188083904949</c:v>
                </c:pt>
                <c:pt idx="22">
                  <c:v>4.0417628066342717</c:v>
                </c:pt>
                <c:pt idx="23">
                  <c:v>4.0416068048780494</c:v>
                </c:pt>
                <c:pt idx="24">
                  <c:v>4.041450803121827</c:v>
                </c:pt>
                <c:pt idx="25">
                  <c:v>4.0412948013656047</c:v>
                </c:pt>
                <c:pt idx="26">
                  <c:v>4.0411387996093824</c:v>
                </c:pt>
                <c:pt idx="27">
                  <c:v>4.0409827978531592</c:v>
                </c:pt>
                <c:pt idx="28">
                  <c:v>4.0107188673409269</c:v>
                </c:pt>
                <c:pt idx="29">
                  <c:v>4.0105324443498889</c:v>
                </c:pt>
                <c:pt idx="30">
                  <c:v>4.0103460213588509</c:v>
                </c:pt>
                <c:pt idx="31">
                  <c:v>4.0101595983678138</c:v>
                </c:pt>
                <c:pt idx="32">
                  <c:v>4.0099731753767758</c:v>
                </c:pt>
                <c:pt idx="33">
                  <c:v>4.0097867523857378</c:v>
                </c:pt>
                <c:pt idx="34">
                  <c:v>4.0096003293946998</c:v>
                </c:pt>
                <c:pt idx="35">
                  <c:v>4.0094139064036618</c:v>
                </c:pt>
                <c:pt idx="36">
                  <c:v>3.9747476973099141</c:v>
                </c:pt>
                <c:pt idx="37">
                  <c:v>3.9745785485808045</c:v>
                </c:pt>
                <c:pt idx="38">
                  <c:v>3.9744093998516945</c:v>
                </c:pt>
                <c:pt idx="39">
                  <c:v>3.9742402511225845</c:v>
                </c:pt>
                <c:pt idx="40">
                  <c:v>3.9740711023934745</c:v>
                </c:pt>
                <c:pt idx="41">
                  <c:v>3.9739019536643645</c:v>
                </c:pt>
                <c:pt idx="42">
                  <c:v>3.9737328049352545</c:v>
                </c:pt>
                <c:pt idx="43">
                  <c:v>3.9735636562061449</c:v>
                </c:pt>
                <c:pt idx="44">
                  <c:v>3.9733945074770349</c:v>
                </c:pt>
                <c:pt idx="45">
                  <c:v>3.9433203055465054</c:v>
                </c:pt>
                <c:pt idx="46">
                  <c:v>3.9431433144572985</c:v>
                </c:pt>
                <c:pt idx="47">
                  <c:v>3.9429663233680912</c:v>
                </c:pt>
                <c:pt idx="48">
                  <c:v>3.9427893322788838</c:v>
                </c:pt>
                <c:pt idx="49">
                  <c:v>3.942612341189677</c:v>
                </c:pt>
                <c:pt idx="50">
                  <c:v>3.9424353501004696</c:v>
                </c:pt>
                <c:pt idx="51">
                  <c:v>3.9422583590112628</c:v>
                </c:pt>
                <c:pt idx="52">
                  <c:v>3.9420813679220554</c:v>
                </c:pt>
                <c:pt idx="53">
                  <c:v>3.9419043768328481</c:v>
                </c:pt>
                <c:pt idx="54">
                  <c:v>3.9121424654736194</c:v>
                </c:pt>
                <c:pt idx="55">
                  <c:v>3.9119271831135474</c:v>
                </c:pt>
                <c:pt idx="56">
                  <c:v>3.9117119007534757</c:v>
                </c:pt>
                <c:pt idx="57">
                  <c:v>3.9114966183934041</c:v>
                </c:pt>
                <c:pt idx="58">
                  <c:v>3.9112813360333325</c:v>
                </c:pt>
                <c:pt idx="59">
                  <c:v>3.9110660536732609</c:v>
                </c:pt>
                <c:pt idx="60">
                  <c:v>3.9108507713131888</c:v>
                </c:pt>
                <c:pt idx="61">
                  <c:v>3.9106354889531172</c:v>
                </c:pt>
                <c:pt idx="62">
                  <c:v>3.9104202065930456</c:v>
                </c:pt>
                <c:pt idx="63">
                  <c:v>3.9102049242329739</c:v>
                </c:pt>
                <c:pt idx="64">
                  <c:v>3.8760714350678347</c:v>
                </c:pt>
                <c:pt idx="65">
                  <c:v>3.8758828973966164</c:v>
                </c:pt>
                <c:pt idx="66">
                  <c:v>3.8756943597253986</c:v>
                </c:pt>
                <c:pt idx="67">
                  <c:v>3.8755058220541803</c:v>
                </c:pt>
                <c:pt idx="68">
                  <c:v>3.8753172843829624</c:v>
                </c:pt>
                <c:pt idx="69">
                  <c:v>3.8751287467117441</c:v>
                </c:pt>
                <c:pt idx="70">
                  <c:v>3.8749402090405263</c:v>
                </c:pt>
                <c:pt idx="71">
                  <c:v>3.874751671369308</c:v>
                </c:pt>
                <c:pt idx="72">
                  <c:v>3.8745631336980901</c:v>
                </c:pt>
                <c:pt idx="73">
                  <c:v>3.8743745960268718</c:v>
                </c:pt>
                <c:pt idx="74">
                  <c:v>3.8464647366917499</c:v>
                </c:pt>
                <c:pt idx="75">
                  <c:v>3.8462732378088584</c:v>
                </c:pt>
                <c:pt idx="76">
                  <c:v>3.8460817389259665</c:v>
                </c:pt>
                <c:pt idx="77">
                  <c:v>3.8458902400430746</c:v>
                </c:pt>
                <c:pt idx="78">
                  <c:v>3.8456987411601831</c:v>
                </c:pt>
                <c:pt idx="79">
                  <c:v>3.8455072422772911</c:v>
                </c:pt>
                <c:pt idx="80">
                  <c:v>3.8453157433943996</c:v>
                </c:pt>
                <c:pt idx="81">
                  <c:v>3.8451242445115077</c:v>
                </c:pt>
                <c:pt idx="82">
                  <c:v>3.8449327456286158</c:v>
                </c:pt>
                <c:pt idx="83">
                  <c:v>3.8447412467457243</c:v>
                </c:pt>
                <c:pt idx="84">
                  <c:v>3.8445497478628323</c:v>
                </c:pt>
                <c:pt idx="85">
                  <c:v>3.8443582489799408</c:v>
                </c:pt>
                <c:pt idx="86">
                  <c:v>3.8182234054428648</c:v>
                </c:pt>
                <c:pt idx="87">
                  <c:v>3.8180270989555063</c:v>
                </c:pt>
                <c:pt idx="88">
                  <c:v>3.8178307924681474</c:v>
                </c:pt>
                <c:pt idx="89">
                  <c:v>3.8176344859807885</c:v>
                </c:pt>
                <c:pt idx="90">
                  <c:v>3.81743817949343</c:v>
                </c:pt>
                <c:pt idx="91">
                  <c:v>3.8172418730060711</c:v>
                </c:pt>
                <c:pt idx="92">
                  <c:v>3.8170455665187122</c:v>
                </c:pt>
                <c:pt idx="93">
                  <c:v>3.8168492600313537</c:v>
                </c:pt>
                <c:pt idx="94">
                  <c:v>3.8166529535439948</c:v>
                </c:pt>
                <c:pt idx="95">
                  <c:v>3.8164566470566363</c:v>
                </c:pt>
                <c:pt idx="96">
                  <c:v>3.8162603405692774</c:v>
                </c:pt>
                <c:pt idx="97">
                  <c:v>3.8160640340819185</c:v>
                </c:pt>
                <c:pt idx="98">
                  <c:v>3.8158677275945601</c:v>
                </c:pt>
                <c:pt idx="99">
                  <c:v>3.7915699970505967</c:v>
                </c:pt>
                <c:pt idx="100">
                  <c:v>3.7914053348055723</c:v>
                </c:pt>
                <c:pt idx="101">
                  <c:v>3.7912406793613966</c:v>
                </c:pt>
                <c:pt idx="102">
                  <c:v>3.7910760307177886</c:v>
                </c:pt>
                <c:pt idx="103">
                  <c:v>3.7909113888744681</c:v>
                </c:pt>
                <c:pt idx="104">
                  <c:v>3.7907467538311539</c:v>
                </c:pt>
                <c:pt idx="105">
                  <c:v>3.7905821255875649</c:v>
                </c:pt>
                <c:pt idx="106">
                  <c:v>3.7904175041434205</c:v>
                </c:pt>
                <c:pt idx="107">
                  <c:v>3.79025288949844</c:v>
                </c:pt>
                <c:pt idx="108">
                  <c:v>3.7900882816523418</c:v>
                </c:pt>
                <c:pt idx="109">
                  <c:v>3.7899236806048462</c:v>
                </c:pt>
                <c:pt idx="110">
                  <c:v>3.7713902980379914</c:v>
                </c:pt>
                <c:pt idx="111">
                  <c:v>3.7712089251805421</c:v>
                </c:pt>
                <c:pt idx="112">
                  <c:v>3.7710275606163184</c:v>
                </c:pt>
                <c:pt idx="113">
                  <c:v>3.7708462043449407</c:v>
                </c:pt>
                <c:pt idx="114">
                  <c:v>3.7706648563660297</c:v>
                </c:pt>
                <c:pt idx="115">
                  <c:v>3.770483516679207</c:v>
                </c:pt>
                <c:pt idx="116">
                  <c:v>3.7703021852840926</c:v>
                </c:pt>
                <c:pt idx="117">
                  <c:v>3.770120862180308</c:v>
                </c:pt>
                <c:pt idx="118">
                  <c:v>3.7699395473674735</c:v>
                </c:pt>
                <c:pt idx="119">
                  <c:v>3.7697582408452104</c:v>
                </c:pt>
                <c:pt idx="120">
                  <c:v>3.7695769426131394</c:v>
                </c:pt>
                <c:pt idx="121">
                  <c:v>3.7693956526708812</c:v>
                </c:pt>
                <c:pt idx="122">
                  <c:v>3.7692143710180575</c:v>
                </c:pt>
                <c:pt idx="123">
                  <c:v>3.769033097654289</c:v>
                </c:pt>
                <c:pt idx="124">
                  <c:v>3.768851832579196</c:v>
                </c:pt>
                <c:pt idx="125">
                  <c:v>3.7509929277072271</c:v>
                </c:pt>
                <c:pt idx="126">
                  <c:v>3.7508333420642184</c:v>
                </c:pt>
                <c:pt idx="127">
                  <c:v>3.7506737628748614</c:v>
                </c:pt>
                <c:pt idx="128">
                  <c:v>3.7505141901388952</c:v>
                </c:pt>
                <c:pt idx="129">
                  <c:v>3.7503546238560586</c:v>
                </c:pt>
                <c:pt idx="130">
                  <c:v>3.7501950640260908</c:v>
                </c:pt>
                <c:pt idx="131">
                  <c:v>3.749960175270449</c:v>
                </c:pt>
                <c:pt idx="132">
                  <c:v>3.7497889160945905</c:v>
                </c:pt>
                <c:pt idx="133">
                  <c:v>3.7496173096913141</c:v>
                </c:pt>
                <c:pt idx="134">
                  <c:v>3.7494460233337259</c:v>
                </c:pt>
                <c:pt idx="135">
                  <c:v>3.7492747444134298</c:v>
                </c:pt>
                <c:pt idx="136">
                  <c:v>3.7491003726204775</c:v>
                </c:pt>
                <c:pt idx="137">
                  <c:v>3.748928837526218</c:v>
                </c:pt>
                <c:pt idx="138">
                  <c:v>3.7487540241563178</c:v>
                </c:pt>
                <c:pt idx="139">
                  <c:v>3.7485822595355027</c:v>
                </c:pt>
                <c:pt idx="140">
                  <c:v>3.7484067167189017</c:v>
                </c:pt>
                <c:pt idx="141">
                  <c:v>3.7352452765044499</c:v>
                </c:pt>
                <c:pt idx="142">
                  <c:v>3.7350586559872485</c:v>
                </c:pt>
                <c:pt idx="143">
                  <c:v>3.7348723520148468</c:v>
                </c:pt>
                <c:pt idx="144">
                  <c:v>3.7346860568736364</c:v>
                </c:pt>
                <c:pt idx="145">
                  <c:v>3.7344981395582226</c:v>
                </c:pt>
                <c:pt idx="146">
                  <c:v>3.7343115316409956</c:v>
                </c:pt>
                <c:pt idx="147">
                  <c:v>3.7341229961413838</c:v>
                </c:pt>
                <c:pt idx="148">
                  <c:v>3.7339361268251663</c:v>
                </c:pt>
                <c:pt idx="149">
                  <c:v>3.7337465290870093</c:v>
                </c:pt>
                <c:pt idx="150">
                  <c:v>3.7335593713565887</c:v>
                </c:pt>
                <c:pt idx="151">
                  <c:v>3.7333690539646658</c:v>
                </c:pt>
                <c:pt idx="152">
                  <c:v>3.7331816245082199</c:v>
                </c:pt>
                <c:pt idx="153">
                  <c:v>3.7211627372972775</c:v>
                </c:pt>
                <c:pt idx="154">
                  <c:v>3.7208889441977631</c:v>
                </c:pt>
                <c:pt idx="155">
                  <c:v>3.7206154703732324</c:v>
                </c:pt>
                <c:pt idx="156">
                  <c:v>3.7203407796097454</c:v>
                </c:pt>
                <c:pt idx="157">
                  <c:v>3.7200670056863738</c:v>
                </c:pt>
                <c:pt idx="158">
                  <c:v>3.7197910715525726</c:v>
                </c:pt>
                <c:pt idx="159">
                  <c:v>3.7195169505800121</c:v>
                </c:pt>
                <c:pt idx="160">
                  <c:v>3.7192404825804073</c:v>
                </c:pt>
                <c:pt idx="161">
                  <c:v>3.7189660910328119</c:v>
                </c:pt>
                <c:pt idx="162">
                  <c:v>3.7186917187191422</c:v>
                </c:pt>
                <c:pt idx="163">
                  <c:v>3.7184173656380501</c:v>
                </c:pt>
                <c:pt idx="164">
                  <c:v>3.7181430317881872</c:v>
                </c:pt>
                <c:pt idx="165">
                  <c:v>3.7038323258190395</c:v>
                </c:pt>
                <c:pt idx="166">
                  <c:v>3.7033709274511986</c:v>
                </c:pt>
                <c:pt idx="167">
                  <c:v>3.7029083000170768</c:v>
                </c:pt>
                <c:pt idx="168">
                  <c:v>3.7024465274179823</c:v>
                </c:pt>
                <c:pt idx="169">
                  <c:v>3.7019822529444282</c:v>
                </c:pt>
                <c:pt idx="170">
                  <c:v>3.7015200408944082</c:v>
                </c:pt>
                <c:pt idx="171">
                  <c:v>3.7010578836629917</c:v>
                </c:pt>
                <c:pt idx="172">
                  <c:v>3.7005920636687879</c:v>
                </c:pt>
                <c:pt idx="173">
                  <c:v>3.70012953103913</c:v>
                </c:pt>
                <c:pt idx="174">
                  <c:v>3.6996636088675769</c:v>
                </c:pt>
                <c:pt idx="175">
                  <c:v>3.6992008299025945</c:v>
                </c:pt>
                <c:pt idx="176">
                  <c:v>3.6806071882304585</c:v>
                </c:pt>
                <c:pt idx="177">
                  <c:v>3.6799304557601671</c:v>
                </c:pt>
                <c:pt idx="178">
                  <c:v>3.6792538414491998</c:v>
                </c:pt>
                <c:pt idx="179">
                  <c:v>3.6785754411355707</c:v>
                </c:pt>
                <c:pt idx="180">
                  <c:v>3.6778984480844747</c:v>
                </c:pt>
                <c:pt idx="181">
                  <c:v>3.6772174897109804</c:v>
                </c:pt>
                <c:pt idx="182">
                  <c:v>3.6765399326551371</c:v>
                </c:pt>
                <c:pt idx="183">
                  <c:v>3.6758567945127556</c:v>
                </c:pt>
                <c:pt idx="184">
                  <c:v>3.6751786725932298</c:v>
                </c:pt>
                <c:pt idx="185">
                  <c:v>3.674491090137034</c:v>
                </c:pt>
                <c:pt idx="186">
                  <c:v>3.6537165226010435</c:v>
                </c:pt>
                <c:pt idx="187">
                  <c:v>3.6529259783591819</c:v>
                </c:pt>
                <c:pt idx="188">
                  <c:v>3.6521313500740811</c:v>
                </c:pt>
                <c:pt idx="189">
                  <c:v>3.6513394040539606</c:v>
                </c:pt>
                <c:pt idx="190">
                  <c:v>3.6505394558631838</c:v>
                </c:pt>
                <c:pt idx="191">
                  <c:v>3.6497460067471059</c:v>
                </c:pt>
                <c:pt idx="192">
                  <c:v>3.6303449540255528</c:v>
                </c:pt>
                <c:pt idx="193">
                  <c:v>3.6293430820949593</c:v>
                </c:pt>
                <c:pt idx="194">
                  <c:v>3.6283414725422287</c:v>
                </c:pt>
                <c:pt idx="195">
                  <c:v>3.6273299756469797</c:v>
                </c:pt>
                <c:pt idx="196">
                  <c:v>3.6263257902490422</c:v>
                </c:pt>
                <c:pt idx="197">
                  <c:v>3.6253054120017314</c:v>
                </c:pt>
                <c:pt idx="198">
                  <c:v>3.6064727934187268</c:v>
                </c:pt>
                <c:pt idx="199">
                  <c:v>3.604672815694991</c:v>
                </c:pt>
                <c:pt idx="200">
                  <c:v>3.6028769498801738</c:v>
                </c:pt>
                <c:pt idx="201">
                  <c:v>3.6010819328055357</c:v>
                </c:pt>
                <c:pt idx="202">
                  <c:v>3.599254739597296</c:v>
                </c:pt>
                <c:pt idx="203">
                  <c:v>3.5974539026268535</c:v>
                </c:pt>
                <c:pt idx="204">
                  <c:v>3.5732305162548323</c:v>
                </c:pt>
                <c:pt idx="205">
                  <c:v>3.5699043840051545</c:v>
                </c:pt>
                <c:pt idx="206">
                  <c:v>3.5665462458421442</c:v>
                </c:pt>
                <c:pt idx="207">
                  <c:v>3.5632135181929145</c:v>
                </c:pt>
                <c:pt idx="208">
                  <c:v>3.5598837431542361</c:v>
                </c:pt>
                <c:pt idx="209">
                  <c:v>3.5325128903128808</c:v>
                </c:pt>
                <c:pt idx="210">
                  <c:v>3.5274554040110964</c:v>
                </c:pt>
                <c:pt idx="211">
                  <c:v>3.501460439935177</c:v>
                </c:pt>
                <c:pt idx="212">
                  <c:v>3.4898942017191077</c:v>
                </c:pt>
                <c:pt idx="213">
                  <c:v>3.4781407459371407</c:v>
                </c:pt>
                <c:pt idx="214">
                  <c:v>3.4501894411170011</c:v>
                </c:pt>
                <c:pt idx="215">
                  <c:v>3.402169412501765</c:v>
                </c:pt>
                <c:pt idx="216">
                  <c:v>3.3503270688363305</c:v>
                </c:pt>
                <c:pt idx="217">
                  <c:v>3.4372426662337143</c:v>
                </c:pt>
                <c:pt idx="218">
                  <c:v>3.4758864655625641</c:v>
                </c:pt>
                <c:pt idx="219">
                  <c:v>3.3585631866649917</c:v>
                </c:pt>
                <c:pt idx="220">
                  <c:v>3.3016833419394618</c:v>
                </c:pt>
                <c:pt idx="221">
                  <c:v>3.3133083748506031</c:v>
                </c:pt>
                <c:pt idx="222">
                  <c:v>3.2451752347544649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F0-4A21-A58A-8D6B2C2289EF}"/>
            </c:ext>
          </c:extLst>
        </c:ser>
        <c:ser>
          <c:idx val="2"/>
          <c:order val="2"/>
          <c:tx>
            <c:strRef>
              <c:f>'Model-HP35'!$F$1:$F$3</c:f>
              <c:strCache>
                <c:ptCount val="3"/>
                <c:pt idx="0">
                  <c:v>LINEAR REGULATOR</c:v>
                </c:pt>
                <c:pt idx="1">
                  <c:v>Output Voltage</c:v>
                </c:pt>
                <c:pt idx="2">
                  <c:v>V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'Model-HP35'!$A$4:$A$251</c:f>
              <c:numCache>
                <c:formatCode>General</c:formatCode>
                <c:ptCount val="24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20.3000000000001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20.600000000000101</c:v>
                </c:pt>
                <c:pt idx="207">
                  <c:v>20.7</c:v>
                </c:pt>
                <c:pt idx="208">
                  <c:v>20.8000000000001</c:v>
                </c:pt>
                <c:pt idx="209">
                  <c:v>20.900000000000102</c:v>
                </c:pt>
                <c:pt idx="210">
                  <c:v>21.000000000000099</c:v>
                </c:pt>
                <c:pt idx="211">
                  <c:v>21.100000000000101</c:v>
                </c:pt>
                <c:pt idx="212">
                  <c:v>21.200000000000099</c:v>
                </c:pt>
                <c:pt idx="213">
                  <c:v>21.3000000000001</c:v>
                </c:pt>
                <c:pt idx="214">
                  <c:v>21.400000000000102</c:v>
                </c:pt>
                <c:pt idx="215">
                  <c:v>21.500000000000099</c:v>
                </c:pt>
                <c:pt idx="216">
                  <c:v>21.600000000000101</c:v>
                </c:pt>
                <c:pt idx="217">
                  <c:v>21.700000000000099</c:v>
                </c:pt>
                <c:pt idx="218">
                  <c:v>21.8000000000001</c:v>
                </c:pt>
                <c:pt idx="219">
                  <c:v>21.900000000000102</c:v>
                </c:pt>
                <c:pt idx="220">
                  <c:v>22.000000000000099</c:v>
                </c:pt>
                <c:pt idx="221">
                  <c:v>22.100000000000101</c:v>
                </c:pt>
                <c:pt idx="222">
                  <c:v>22.200000000000099</c:v>
                </c:pt>
                <c:pt idx="223">
                  <c:v>22.3000000000001</c:v>
                </c:pt>
                <c:pt idx="224">
                  <c:v>22.400000000000102</c:v>
                </c:pt>
                <c:pt idx="225">
                  <c:v>22.500000000000099</c:v>
                </c:pt>
                <c:pt idx="226">
                  <c:v>22.600000000000101</c:v>
                </c:pt>
                <c:pt idx="227">
                  <c:v>22.700000000000099</c:v>
                </c:pt>
                <c:pt idx="228">
                  <c:v>22.8000000000001</c:v>
                </c:pt>
                <c:pt idx="229">
                  <c:v>22.900000000000102</c:v>
                </c:pt>
                <c:pt idx="230">
                  <c:v>23.000000000000099</c:v>
                </c:pt>
                <c:pt idx="231">
                  <c:v>23.100000000000101</c:v>
                </c:pt>
                <c:pt idx="232">
                  <c:v>23.200000000000099</c:v>
                </c:pt>
                <c:pt idx="233">
                  <c:v>23.3000000000001</c:v>
                </c:pt>
                <c:pt idx="234">
                  <c:v>23.400000000000102</c:v>
                </c:pt>
                <c:pt idx="235">
                  <c:v>23.5</c:v>
                </c:pt>
                <c:pt idx="236">
                  <c:v>23.600000000000101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24.0999999999996</c:v>
                </c:pt>
                <c:pt idx="242">
                  <c:v>24.199999999999498</c:v>
                </c:pt>
                <c:pt idx="243">
                  <c:v>24.2999999999994</c:v>
                </c:pt>
                <c:pt idx="244">
                  <c:v>24.399999999999299</c:v>
                </c:pt>
                <c:pt idx="245">
                  <c:v>24.499999999999201</c:v>
                </c:pt>
                <c:pt idx="246">
                  <c:v>24.599999999999099</c:v>
                </c:pt>
                <c:pt idx="247">
                  <c:v>24.699999999999001</c:v>
                </c:pt>
              </c:numCache>
            </c:numRef>
          </c:xVal>
          <c:yVal>
            <c:numRef>
              <c:f>'Model-HP35'!$F$4:$F$251</c:f>
              <c:numCache>
                <c:formatCode>General</c:formatCode>
                <c:ptCount val="248"/>
                <c:pt idx="0">
                  <c:v>3.7549999999999999</c:v>
                </c:pt>
                <c:pt idx="1">
                  <c:v>3.7549999999999999</c:v>
                </c:pt>
                <c:pt idx="2">
                  <c:v>3.7549999999999999</c:v>
                </c:pt>
                <c:pt idx="3">
                  <c:v>3.7549999999999999</c:v>
                </c:pt>
                <c:pt idx="4">
                  <c:v>3.7549999999999999</c:v>
                </c:pt>
                <c:pt idx="5">
                  <c:v>3.7549999999999999</c:v>
                </c:pt>
                <c:pt idx="6">
                  <c:v>3.7549999999999999</c:v>
                </c:pt>
                <c:pt idx="7">
                  <c:v>3.7549999999999999</c:v>
                </c:pt>
                <c:pt idx="8">
                  <c:v>3.7549999999999999</c:v>
                </c:pt>
                <c:pt idx="9">
                  <c:v>3.7549999999999999</c:v>
                </c:pt>
                <c:pt idx="10">
                  <c:v>3.7549999999999999</c:v>
                </c:pt>
                <c:pt idx="11">
                  <c:v>3.7549999999999999</c:v>
                </c:pt>
                <c:pt idx="12">
                  <c:v>3.7549999999999999</c:v>
                </c:pt>
                <c:pt idx="13">
                  <c:v>3.7549999999999999</c:v>
                </c:pt>
                <c:pt idx="14">
                  <c:v>3.7549999999999999</c:v>
                </c:pt>
                <c:pt idx="15">
                  <c:v>3.7549999999999999</c:v>
                </c:pt>
                <c:pt idx="16">
                  <c:v>3.7549999999999999</c:v>
                </c:pt>
                <c:pt idx="17">
                  <c:v>3.7549999999999999</c:v>
                </c:pt>
                <c:pt idx="18">
                  <c:v>3.7549999999999999</c:v>
                </c:pt>
                <c:pt idx="19">
                  <c:v>3.7549999999999999</c:v>
                </c:pt>
                <c:pt idx="20">
                  <c:v>3.7549999999999999</c:v>
                </c:pt>
                <c:pt idx="21">
                  <c:v>3.7549999999999999</c:v>
                </c:pt>
                <c:pt idx="22">
                  <c:v>3.7549999999999999</c:v>
                </c:pt>
                <c:pt idx="23">
                  <c:v>3.7549999999999999</c:v>
                </c:pt>
                <c:pt idx="24">
                  <c:v>3.7549999999999999</c:v>
                </c:pt>
                <c:pt idx="25">
                  <c:v>3.7549999999999999</c:v>
                </c:pt>
                <c:pt idx="26">
                  <c:v>3.7549999999999999</c:v>
                </c:pt>
                <c:pt idx="27">
                  <c:v>3.7549999999999999</c:v>
                </c:pt>
                <c:pt idx="28">
                  <c:v>3.7549999999999999</c:v>
                </c:pt>
                <c:pt idx="29">
                  <c:v>3.7549999999999999</c:v>
                </c:pt>
                <c:pt idx="30">
                  <c:v>3.7549999999999999</c:v>
                </c:pt>
                <c:pt idx="31">
                  <c:v>3.7549999999999999</c:v>
                </c:pt>
                <c:pt idx="32">
                  <c:v>3.7549999999999999</c:v>
                </c:pt>
                <c:pt idx="33">
                  <c:v>3.7549999999999999</c:v>
                </c:pt>
                <c:pt idx="34">
                  <c:v>3.7549999999999999</c:v>
                </c:pt>
                <c:pt idx="35">
                  <c:v>3.7549999999999999</c:v>
                </c:pt>
                <c:pt idx="36">
                  <c:v>3.7549999999999999</c:v>
                </c:pt>
                <c:pt idx="37">
                  <c:v>3.7549999999999999</c:v>
                </c:pt>
                <c:pt idx="38">
                  <c:v>3.7549999999999999</c:v>
                </c:pt>
                <c:pt idx="39">
                  <c:v>3.7549999999999999</c:v>
                </c:pt>
                <c:pt idx="40">
                  <c:v>3.7549999999999999</c:v>
                </c:pt>
                <c:pt idx="41">
                  <c:v>3.7549999999999999</c:v>
                </c:pt>
                <c:pt idx="42">
                  <c:v>3.7549999999999999</c:v>
                </c:pt>
                <c:pt idx="43">
                  <c:v>3.7549999999999999</c:v>
                </c:pt>
                <c:pt idx="44">
                  <c:v>3.7549999999999999</c:v>
                </c:pt>
                <c:pt idx="45">
                  <c:v>3.7549999999999999</c:v>
                </c:pt>
                <c:pt idx="46">
                  <c:v>3.7549999999999999</c:v>
                </c:pt>
                <c:pt idx="47">
                  <c:v>3.7549999999999999</c:v>
                </c:pt>
                <c:pt idx="48">
                  <c:v>3.7549999999999999</c:v>
                </c:pt>
                <c:pt idx="49">
                  <c:v>3.7549999999999999</c:v>
                </c:pt>
                <c:pt idx="50">
                  <c:v>3.7549999999999999</c:v>
                </c:pt>
                <c:pt idx="51">
                  <c:v>3.7549999999999999</c:v>
                </c:pt>
                <c:pt idx="52">
                  <c:v>3.7549999999999999</c:v>
                </c:pt>
                <c:pt idx="53">
                  <c:v>3.7549999999999999</c:v>
                </c:pt>
                <c:pt idx="54">
                  <c:v>3.7549999999999999</c:v>
                </c:pt>
                <c:pt idx="55">
                  <c:v>3.7549999999999999</c:v>
                </c:pt>
                <c:pt idx="56">
                  <c:v>3.7549999999999999</c:v>
                </c:pt>
                <c:pt idx="57">
                  <c:v>3.7549999999999999</c:v>
                </c:pt>
                <c:pt idx="58">
                  <c:v>3.7549999999999999</c:v>
                </c:pt>
                <c:pt idx="59">
                  <c:v>3.7549999999999999</c:v>
                </c:pt>
                <c:pt idx="60">
                  <c:v>3.7549999999999999</c:v>
                </c:pt>
                <c:pt idx="61">
                  <c:v>3.7549999999999999</c:v>
                </c:pt>
                <c:pt idx="62">
                  <c:v>3.7549999999999999</c:v>
                </c:pt>
                <c:pt idx="63">
                  <c:v>3.7549999999999999</c:v>
                </c:pt>
                <c:pt idx="64">
                  <c:v>3.7549999999999999</c:v>
                </c:pt>
                <c:pt idx="65">
                  <c:v>3.7549999999999999</c:v>
                </c:pt>
                <c:pt idx="66">
                  <c:v>3.7549999999999999</c:v>
                </c:pt>
                <c:pt idx="67">
                  <c:v>3.7549999999999999</c:v>
                </c:pt>
                <c:pt idx="68">
                  <c:v>3.7549999999999999</c:v>
                </c:pt>
                <c:pt idx="69">
                  <c:v>3.7549999999999999</c:v>
                </c:pt>
                <c:pt idx="70">
                  <c:v>3.7549999999999999</c:v>
                </c:pt>
                <c:pt idx="71">
                  <c:v>3.7549999999999999</c:v>
                </c:pt>
                <c:pt idx="72">
                  <c:v>3.7549999999999999</c:v>
                </c:pt>
                <c:pt idx="73">
                  <c:v>3.7549999999999999</c:v>
                </c:pt>
                <c:pt idx="74">
                  <c:v>3.7549999999999999</c:v>
                </c:pt>
                <c:pt idx="75">
                  <c:v>3.7549999999999999</c:v>
                </c:pt>
                <c:pt idx="76">
                  <c:v>3.7549999999999999</c:v>
                </c:pt>
                <c:pt idx="77">
                  <c:v>3.7549999999999999</c:v>
                </c:pt>
                <c:pt idx="78">
                  <c:v>3.7549999999999999</c:v>
                </c:pt>
                <c:pt idx="79">
                  <c:v>3.7549999999999999</c:v>
                </c:pt>
                <c:pt idx="80">
                  <c:v>3.7549999999999999</c:v>
                </c:pt>
                <c:pt idx="81">
                  <c:v>3.7549999999999999</c:v>
                </c:pt>
                <c:pt idx="82">
                  <c:v>3.7549999999999999</c:v>
                </c:pt>
                <c:pt idx="83">
                  <c:v>3.7549999999999999</c:v>
                </c:pt>
                <c:pt idx="84">
                  <c:v>3.7549999999999999</c:v>
                </c:pt>
                <c:pt idx="85">
                  <c:v>3.7549999999999999</c:v>
                </c:pt>
                <c:pt idx="86">
                  <c:v>3.7549999999999999</c:v>
                </c:pt>
                <c:pt idx="87">
                  <c:v>3.7549999999999999</c:v>
                </c:pt>
                <c:pt idx="88">
                  <c:v>3.7549999999999999</c:v>
                </c:pt>
                <c:pt idx="89">
                  <c:v>3.7549999999999999</c:v>
                </c:pt>
                <c:pt idx="90">
                  <c:v>3.7549999999999999</c:v>
                </c:pt>
                <c:pt idx="91">
                  <c:v>3.7549999999999999</c:v>
                </c:pt>
                <c:pt idx="92">
                  <c:v>3.7549999999999999</c:v>
                </c:pt>
                <c:pt idx="93">
                  <c:v>3.7549999999999999</c:v>
                </c:pt>
                <c:pt idx="94">
                  <c:v>3.7549999999999999</c:v>
                </c:pt>
                <c:pt idx="95">
                  <c:v>3.7549999999999999</c:v>
                </c:pt>
                <c:pt idx="96">
                  <c:v>3.7549999999999999</c:v>
                </c:pt>
                <c:pt idx="97">
                  <c:v>3.7549999999999999</c:v>
                </c:pt>
                <c:pt idx="98">
                  <c:v>3.7549999999999999</c:v>
                </c:pt>
                <c:pt idx="99">
                  <c:v>3.736569997050597</c:v>
                </c:pt>
                <c:pt idx="100">
                  <c:v>3.7364053348055726</c:v>
                </c:pt>
                <c:pt idx="101">
                  <c:v>3.7362406793613969</c:v>
                </c:pt>
                <c:pt idx="102">
                  <c:v>3.7360760307177889</c:v>
                </c:pt>
                <c:pt idx="103">
                  <c:v>3.7359113888744684</c:v>
                </c:pt>
                <c:pt idx="104">
                  <c:v>3.7357467538311542</c:v>
                </c:pt>
                <c:pt idx="105">
                  <c:v>3.7355821255875652</c:v>
                </c:pt>
                <c:pt idx="106">
                  <c:v>3.7354175041434208</c:v>
                </c:pt>
                <c:pt idx="107">
                  <c:v>3.7352528894984403</c:v>
                </c:pt>
                <c:pt idx="108">
                  <c:v>3.7350882816523421</c:v>
                </c:pt>
                <c:pt idx="109">
                  <c:v>3.7349236806048465</c:v>
                </c:pt>
                <c:pt idx="110">
                  <c:v>3.7163902980379917</c:v>
                </c:pt>
                <c:pt idx="111">
                  <c:v>3.7162089251805424</c:v>
                </c:pt>
                <c:pt idx="112">
                  <c:v>3.7160275606163187</c:v>
                </c:pt>
                <c:pt idx="113">
                  <c:v>3.715846204344941</c:v>
                </c:pt>
                <c:pt idx="114">
                  <c:v>3.7156648563660299</c:v>
                </c:pt>
                <c:pt idx="115">
                  <c:v>3.7154835166792073</c:v>
                </c:pt>
                <c:pt idx="116">
                  <c:v>3.7153021852840928</c:v>
                </c:pt>
                <c:pt idx="117">
                  <c:v>3.7151208621803082</c:v>
                </c:pt>
                <c:pt idx="118">
                  <c:v>3.7149395473674738</c:v>
                </c:pt>
                <c:pt idx="119">
                  <c:v>3.7147582408452107</c:v>
                </c:pt>
                <c:pt idx="120">
                  <c:v>3.7145769426131396</c:v>
                </c:pt>
                <c:pt idx="121">
                  <c:v>3.7143956526708815</c:v>
                </c:pt>
                <c:pt idx="122">
                  <c:v>3.7142143710180577</c:v>
                </c:pt>
                <c:pt idx="123">
                  <c:v>3.7140330976542892</c:v>
                </c:pt>
                <c:pt idx="124">
                  <c:v>3.7138518325791963</c:v>
                </c:pt>
                <c:pt idx="125">
                  <c:v>3.6959929277072274</c:v>
                </c:pt>
                <c:pt idx="126">
                  <c:v>3.6958333420642187</c:v>
                </c:pt>
                <c:pt idx="127">
                  <c:v>3.6956737628748617</c:v>
                </c:pt>
                <c:pt idx="128">
                  <c:v>3.6955141901388955</c:v>
                </c:pt>
                <c:pt idx="129">
                  <c:v>3.6953546238560588</c:v>
                </c:pt>
                <c:pt idx="130">
                  <c:v>3.6951950640260911</c:v>
                </c:pt>
                <c:pt idx="131">
                  <c:v>3.6949601752704493</c:v>
                </c:pt>
                <c:pt idx="132">
                  <c:v>3.6947889160945908</c:v>
                </c:pt>
                <c:pt idx="133">
                  <c:v>3.6946173096913144</c:v>
                </c:pt>
                <c:pt idx="134">
                  <c:v>3.6944460233337262</c:v>
                </c:pt>
                <c:pt idx="135">
                  <c:v>3.6942747444134301</c:v>
                </c:pt>
                <c:pt idx="136">
                  <c:v>3.6941003726204777</c:v>
                </c:pt>
                <c:pt idx="137">
                  <c:v>3.6939288375262183</c:v>
                </c:pt>
                <c:pt idx="138">
                  <c:v>3.693754024156318</c:v>
                </c:pt>
                <c:pt idx="139">
                  <c:v>3.693582259535503</c:v>
                </c:pt>
                <c:pt idx="140">
                  <c:v>3.693406716718902</c:v>
                </c:pt>
                <c:pt idx="141">
                  <c:v>3.6802452765044502</c:v>
                </c:pt>
                <c:pt idx="142">
                  <c:v>3.6800586559872488</c:v>
                </c:pt>
                <c:pt idx="143">
                  <c:v>3.6798723520148471</c:v>
                </c:pt>
                <c:pt idx="144">
                  <c:v>3.6796860568736367</c:v>
                </c:pt>
                <c:pt idx="145">
                  <c:v>3.6794981395582229</c:v>
                </c:pt>
                <c:pt idx="146">
                  <c:v>3.6793115316409959</c:v>
                </c:pt>
                <c:pt idx="147">
                  <c:v>3.679122996141384</c:v>
                </c:pt>
                <c:pt idx="148">
                  <c:v>3.6789361268251666</c:v>
                </c:pt>
                <c:pt idx="149">
                  <c:v>3.6787465290870096</c:v>
                </c:pt>
                <c:pt idx="150">
                  <c:v>3.6785593713565889</c:v>
                </c:pt>
                <c:pt idx="151">
                  <c:v>3.6783690539646661</c:v>
                </c:pt>
                <c:pt idx="152">
                  <c:v>3.6781816245082202</c:v>
                </c:pt>
                <c:pt idx="153">
                  <c:v>3.6661627372972778</c:v>
                </c:pt>
                <c:pt idx="154">
                  <c:v>3.6658889441977633</c:v>
                </c:pt>
                <c:pt idx="155">
                  <c:v>3.6656154703732327</c:v>
                </c:pt>
                <c:pt idx="156">
                  <c:v>3.6653407796097457</c:v>
                </c:pt>
                <c:pt idx="157">
                  <c:v>3.6650670056863741</c:v>
                </c:pt>
                <c:pt idx="158">
                  <c:v>3.6647910715525729</c:v>
                </c:pt>
                <c:pt idx="159">
                  <c:v>3.6645169505800124</c:v>
                </c:pt>
                <c:pt idx="160">
                  <c:v>3.6642404825804076</c:v>
                </c:pt>
                <c:pt idx="161">
                  <c:v>3.6639660910328122</c:v>
                </c:pt>
                <c:pt idx="162">
                  <c:v>3.6636917187191425</c:v>
                </c:pt>
                <c:pt idx="163">
                  <c:v>3.6634173656380504</c:v>
                </c:pt>
                <c:pt idx="164">
                  <c:v>3.6631430317881875</c:v>
                </c:pt>
                <c:pt idx="165">
                  <c:v>3.6488323258190398</c:v>
                </c:pt>
                <c:pt idx="166">
                  <c:v>3.6483709274511988</c:v>
                </c:pt>
                <c:pt idx="167">
                  <c:v>3.6479083000170771</c:v>
                </c:pt>
                <c:pt idx="168">
                  <c:v>3.6474465274179826</c:v>
                </c:pt>
                <c:pt idx="169">
                  <c:v>3.6469822529444285</c:v>
                </c:pt>
                <c:pt idx="170">
                  <c:v>3.6465200408944085</c:v>
                </c:pt>
                <c:pt idx="171">
                  <c:v>3.646057883662992</c:v>
                </c:pt>
                <c:pt idx="172">
                  <c:v>3.6455920636687882</c:v>
                </c:pt>
                <c:pt idx="173">
                  <c:v>3.6451295310391303</c:v>
                </c:pt>
                <c:pt idx="174">
                  <c:v>3.6446636088675772</c:v>
                </c:pt>
                <c:pt idx="175">
                  <c:v>3.6442008299025948</c:v>
                </c:pt>
                <c:pt idx="176">
                  <c:v>3.6256071882304588</c:v>
                </c:pt>
                <c:pt idx="177">
                  <c:v>3.6249304557601674</c:v>
                </c:pt>
                <c:pt idx="178">
                  <c:v>3.6242538414492</c:v>
                </c:pt>
                <c:pt idx="179">
                  <c:v>3.623575441135571</c:v>
                </c:pt>
                <c:pt idx="180">
                  <c:v>3.622898448084475</c:v>
                </c:pt>
                <c:pt idx="181">
                  <c:v>3.6222174897109807</c:v>
                </c:pt>
                <c:pt idx="182">
                  <c:v>3.6215399326551374</c:v>
                </c:pt>
                <c:pt idx="183">
                  <c:v>3.6208567945127559</c:v>
                </c:pt>
                <c:pt idx="184">
                  <c:v>3.6201786725932301</c:v>
                </c:pt>
                <c:pt idx="185">
                  <c:v>3.6194910901370343</c:v>
                </c:pt>
                <c:pt idx="186">
                  <c:v>3.5987165226010438</c:v>
                </c:pt>
                <c:pt idx="187">
                  <c:v>3.5979259783591822</c:v>
                </c:pt>
                <c:pt idx="188">
                  <c:v>3.5971313500740814</c:v>
                </c:pt>
                <c:pt idx="189">
                  <c:v>3.5963394040539609</c:v>
                </c:pt>
                <c:pt idx="190">
                  <c:v>3.5955394558631841</c:v>
                </c:pt>
                <c:pt idx="191">
                  <c:v>3.5947460067471062</c:v>
                </c:pt>
                <c:pt idx="192">
                  <c:v>3.5753449540255531</c:v>
                </c:pt>
                <c:pt idx="193">
                  <c:v>3.5743430820949595</c:v>
                </c:pt>
                <c:pt idx="194">
                  <c:v>3.573341472542229</c:v>
                </c:pt>
                <c:pt idx="195">
                  <c:v>3.57232997564698</c:v>
                </c:pt>
                <c:pt idx="196">
                  <c:v>3.5713257902490425</c:v>
                </c:pt>
                <c:pt idx="197">
                  <c:v>3.5703054120017317</c:v>
                </c:pt>
                <c:pt idx="198">
                  <c:v>3.5514727934187271</c:v>
                </c:pt>
                <c:pt idx="199">
                  <c:v>3.5496728156949913</c:v>
                </c:pt>
                <c:pt idx="200">
                  <c:v>3.5478769498801741</c:v>
                </c:pt>
                <c:pt idx="201">
                  <c:v>3.546081932805536</c:v>
                </c:pt>
                <c:pt idx="202">
                  <c:v>3.5442547395972963</c:v>
                </c:pt>
                <c:pt idx="203">
                  <c:v>3.5424539026268538</c:v>
                </c:pt>
                <c:pt idx="204">
                  <c:v>3.5182305162548326</c:v>
                </c:pt>
                <c:pt idx="205">
                  <c:v>3.5149043840051548</c:v>
                </c:pt>
                <c:pt idx="206">
                  <c:v>3.5115462458421445</c:v>
                </c:pt>
                <c:pt idx="207">
                  <c:v>3.5082135181929148</c:v>
                </c:pt>
                <c:pt idx="208">
                  <c:v>3.5048837431542363</c:v>
                </c:pt>
                <c:pt idx="209">
                  <c:v>3.4775128903128811</c:v>
                </c:pt>
                <c:pt idx="210">
                  <c:v>3.4724554040110966</c:v>
                </c:pt>
                <c:pt idx="211">
                  <c:v>3.4464604399351773</c:v>
                </c:pt>
                <c:pt idx="212">
                  <c:v>3.434894201719108</c:v>
                </c:pt>
                <c:pt idx="213">
                  <c:v>3.423140745937141</c:v>
                </c:pt>
                <c:pt idx="214">
                  <c:v>3.3951894411170014</c:v>
                </c:pt>
                <c:pt idx="215">
                  <c:v>3.3471694125017653</c:v>
                </c:pt>
                <c:pt idx="216">
                  <c:v>3.2953270688363308</c:v>
                </c:pt>
                <c:pt idx="217">
                  <c:v>3.3822426662337146</c:v>
                </c:pt>
                <c:pt idx="218">
                  <c:v>3.4208864655625644</c:v>
                </c:pt>
                <c:pt idx="219">
                  <c:v>3.3035631866649919</c:v>
                </c:pt>
                <c:pt idx="220">
                  <c:v>3.2466833419394621</c:v>
                </c:pt>
                <c:pt idx="221">
                  <c:v>3.2583083748506034</c:v>
                </c:pt>
                <c:pt idx="222">
                  <c:v>3.1901752347544652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F0-4A21-A58A-8D6B2C228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719680"/>
        <c:axId val="252720640"/>
      </c:scatterChart>
      <c:valAx>
        <c:axId val="24830240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198880"/>
        <c:crosses val="autoZero"/>
        <c:crossBetween val="midCat"/>
        <c:majorUnit val="2"/>
      </c:valAx>
      <c:valAx>
        <c:axId val="18781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 / Capacity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30240"/>
        <c:crosses val="autoZero"/>
        <c:crossBetween val="midCat"/>
      </c:valAx>
      <c:valAx>
        <c:axId val="252720640"/>
        <c:scaling>
          <c:orientation val="minMax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719680"/>
        <c:crosses val="max"/>
        <c:crossBetween val="midCat"/>
      </c:valAx>
      <c:valAx>
        <c:axId val="252719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2720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239076</xdr:colOff>
      <xdr:row>1</xdr:row>
      <xdr:rowOff>105726</xdr:rowOff>
    </xdr:from>
    <xdr:to>
      <xdr:col>23</xdr:col>
      <xdr:colOff>133349</xdr:colOff>
      <xdr:row>29</xdr:row>
      <xdr:rowOff>3809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BFE032-2DC3-B1D7-9E6C-E2DD879FD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596265</xdr:colOff>
      <xdr:row>3</xdr:row>
      <xdr:rowOff>112395</xdr:rowOff>
    </xdr:from>
    <xdr:to>
      <xdr:col>21</xdr:col>
      <xdr:colOff>291465</xdr:colOff>
      <xdr:row>17</xdr:row>
      <xdr:rowOff>112395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301E07-2132-8755-E99F-51498CED9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601980</xdr:colOff>
      <xdr:row>18</xdr:row>
      <xdr:rowOff>144780</xdr:rowOff>
    </xdr:from>
    <xdr:to>
      <xdr:col>21</xdr:col>
      <xdr:colOff>297180</xdr:colOff>
      <xdr:row>32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2B3E14-B40C-41C7-A9F7-30AD45431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7620</xdr:colOff>
      <xdr:row>34</xdr:row>
      <xdr:rowOff>15240</xdr:rowOff>
    </xdr:from>
    <xdr:to>
      <xdr:col>21</xdr:col>
      <xdr:colOff>312420</xdr:colOff>
      <xdr:row>48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71DADD-49C1-483B-A0FD-2DA0337B56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467895</xdr:colOff>
      <xdr:row>3</xdr:row>
      <xdr:rowOff>120315</xdr:rowOff>
    </xdr:from>
    <xdr:to>
      <xdr:col>29</xdr:col>
      <xdr:colOff>163095</xdr:colOff>
      <xdr:row>17</xdr:row>
      <xdr:rowOff>120315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9844BC3-32DE-4029-A7A5-86FB248E40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521368</xdr:colOff>
      <xdr:row>19</xdr:row>
      <xdr:rowOff>53474</xdr:rowOff>
    </xdr:from>
    <xdr:to>
      <xdr:col>29</xdr:col>
      <xdr:colOff>216568</xdr:colOff>
      <xdr:row>33</xdr:row>
      <xdr:rowOff>53473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BCF9540-7BF4-4FEB-852F-ABCB4EE586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574842</xdr:colOff>
      <xdr:row>34</xdr:row>
      <xdr:rowOff>13369</xdr:rowOff>
    </xdr:from>
    <xdr:to>
      <xdr:col>29</xdr:col>
      <xdr:colOff>270042</xdr:colOff>
      <xdr:row>48</xdr:row>
      <xdr:rowOff>13368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56C2E9-C298-4BFE-A649-DB57288D9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504377</xdr:colOff>
      <xdr:row>21</xdr:row>
      <xdr:rowOff>161477</xdr:rowOff>
    </xdr:from>
    <xdr:to>
      <xdr:col>23</xdr:col>
      <xdr:colOff>351977</xdr:colOff>
      <xdr:row>43</xdr:row>
      <xdr:rowOff>49082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43980A-5B3C-596B-CEB1-EF1192F8D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CBCC-BEF9-4872-8A10-204FA50D3118}">
  <dimension ref="A1:C41"/>
  <sheetViews>
    <sheetView workbookViewId="0">
      <selection activeCell="E37" sqref="E37"/>
    </sheetView>
  </sheetViews>
  <sheetFormatPr defaultRowHeight="14.4" x14ac:dyDescent="0.3"/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>
        <v>0</v>
      </c>
      <c r="B2">
        <f t="shared" ref="B2:B41" si="0">100-A2</f>
        <v>100</v>
      </c>
      <c r="C2">
        <v>4.2</v>
      </c>
    </row>
    <row r="3" spans="1:3" x14ac:dyDescent="0.3">
      <c r="A3">
        <v>0.1</v>
      </c>
      <c r="B3">
        <f t="shared" si="0"/>
        <v>99.9</v>
      </c>
      <c r="C3">
        <v>4.1900000000000004</v>
      </c>
    </row>
    <row r="4" spans="1:3" x14ac:dyDescent="0.3">
      <c r="A4">
        <v>0.363636373724819</v>
      </c>
      <c r="B4">
        <f t="shared" si="0"/>
        <v>99.636363626275184</v>
      </c>
      <c r="C4">
        <v>4.1577653828300001</v>
      </c>
    </row>
    <row r="5" spans="1:3" x14ac:dyDescent="0.3">
      <c r="A5">
        <v>1.0909091211744599</v>
      </c>
      <c r="B5">
        <f t="shared" si="0"/>
        <v>98.909090878825538</v>
      </c>
      <c r="C5">
        <v>4.1389943623039001</v>
      </c>
    </row>
    <row r="6" spans="1:3" x14ac:dyDescent="0.3">
      <c r="A6">
        <v>1.9636369729790899</v>
      </c>
      <c r="B6">
        <f t="shared" si="0"/>
        <v>98.036363027020911</v>
      </c>
      <c r="C6">
        <v>4.1233519048700602</v>
      </c>
    </row>
    <row r="7" spans="1:3" x14ac:dyDescent="0.3">
      <c r="A7">
        <v>2.69090972042873</v>
      </c>
      <c r="B7">
        <f t="shared" si="0"/>
        <v>97.309090279571265</v>
      </c>
      <c r="C7">
        <v>4.1155306761531403</v>
      </c>
    </row>
    <row r="8" spans="1:3" x14ac:dyDescent="0.3">
      <c r="A8">
        <v>3.6363637372481898</v>
      </c>
      <c r="B8">
        <f t="shared" si="0"/>
        <v>96.363636262751811</v>
      </c>
      <c r="C8">
        <v>4.1030167818115499</v>
      </c>
    </row>
    <row r="9" spans="1:3" x14ac:dyDescent="0.3">
      <c r="A9">
        <v>5.2363643365024704</v>
      </c>
      <c r="B9">
        <f t="shared" si="0"/>
        <v>94.763635663497524</v>
      </c>
      <c r="C9">
        <v>4.0842457612854597</v>
      </c>
    </row>
    <row r="10" spans="1:3" x14ac:dyDescent="0.3">
      <c r="A10">
        <v>9.2363644474754807</v>
      </c>
      <c r="B10">
        <f t="shared" si="0"/>
        <v>90.763635552524519</v>
      </c>
      <c r="C10">
        <v>4.0420112037867</v>
      </c>
    </row>
    <row r="11" spans="1:3" x14ac:dyDescent="0.3">
      <c r="A11">
        <v>12.6545441410285</v>
      </c>
      <c r="B11">
        <f t="shared" si="0"/>
        <v>87.345455858971505</v>
      </c>
      <c r="C11">
        <v>4.0107262889190203</v>
      </c>
    </row>
    <row r="12" spans="1:3" x14ac:dyDescent="0.3">
      <c r="A12">
        <v>16.290907878276599</v>
      </c>
      <c r="B12">
        <f t="shared" si="0"/>
        <v>83.709092121723401</v>
      </c>
      <c r="C12">
        <v>3.9747485890841898</v>
      </c>
    </row>
    <row r="13" spans="1:3" x14ac:dyDescent="0.3">
      <c r="A13">
        <v>20.000003329190399</v>
      </c>
      <c r="B13">
        <f t="shared" si="0"/>
        <v>79.999996670809594</v>
      </c>
      <c r="C13">
        <v>3.9434636742165101</v>
      </c>
    </row>
    <row r="14" spans="1:3" x14ac:dyDescent="0.3">
      <c r="A14">
        <v>24.363639813888199</v>
      </c>
      <c r="B14">
        <f t="shared" si="0"/>
        <v>75.636360186111801</v>
      </c>
      <c r="C14">
        <v>3.91217875934883</v>
      </c>
    </row>
    <row r="15" spans="1:3" x14ac:dyDescent="0.3">
      <c r="A15">
        <v>28.654544584920501</v>
      </c>
      <c r="B15">
        <f t="shared" si="0"/>
        <v>71.345455415079499</v>
      </c>
      <c r="C15">
        <v>3.8762011191852399</v>
      </c>
    </row>
    <row r="16" spans="1:3" x14ac:dyDescent="0.3">
      <c r="A16">
        <v>33.454549157008699</v>
      </c>
      <c r="B16">
        <f t="shared" si="0"/>
        <v>66.545450842991301</v>
      </c>
      <c r="C16">
        <v>3.8464804858636898</v>
      </c>
    </row>
    <row r="17" spans="1:3" x14ac:dyDescent="0.3">
      <c r="A17">
        <v>38.690910719185801</v>
      </c>
      <c r="B17">
        <f t="shared" si="0"/>
        <v>61.309089280814199</v>
      </c>
      <c r="C17">
        <v>3.8183240147457802</v>
      </c>
    </row>
    <row r="18" spans="1:3" x14ac:dyDescent="0.3">
      <c r="A18">
        <v>44.363640368753302</v>
      </c>
      <c r="B18">
        <f t="shared" si="0"/>
        <v>55.636359631246698</v>
      </c>
      <c r="C18">
        <v>3.7917318848452402</v>
      </c>
    </row>
    <row r="19" spans="1:3" x14ac:dyDescent="0.3">
      <c r="A19">
        <v>49.745454260960003</v>
      </c>
      <c r="B19">
        <f t="shared" si="0"/>
        <v>50.254545739039997</v>
      </c>
      <c r="C19">
        <v>3.7713966424442602</v>
      </c>
    </row>
    <row r="20" spans="1:3" x14ac:dyDescent="0.3">
      <c r="A20">
        <v>56.290914536657503</v>
      </c>
      <c r="B20">
        <f t="shared" si="0"/>
        <v>43.709085463342497</v>
      </c>
      <c r="C20">
        <v>3.75106145971451</v>
      </c>
    </row>
    <row r="21" spans="1:3" x14ac:dyDescent="0.3">
      <c r="A21">
        <v>63.200005637429101</v>
      </c>
      <c r="B21">
        <f t="shared" si="0"/>
        <v>36.799994362570899</v>
      </c>
      <c r="C21">
        <v>3.7354190022806701</v>
      </c>
    </row>
    <row r="22" spans="1:3" x14ac:dyDescent="0.3">
      <c r="A22">
        <v>68.654551243301398</v>
      </c>
      <c r="B22">
        <f t="shared" si="0"/>
        <v>31.345448756698602</v>
      </c>
      <c r="C22">
        <v>3.7213408263929599</v>
      </c>
    </row>
    <row r="23" spans="1:3" x14ac:dyDescent="0.3">
      <c r="A23">
        <v>73.963644519144097</v>
      </c>
      <c r="B23">
        <f t="shared" si="0"/>
        <v>26.036355480855903</v>
      </c>
      <c r="C23">
        <v>3.70413408741299</v>
      </c>
    </row>
    <row r="24" spans="1:3" x14ac:dyDescent="0.3">
      <c r="A24">
        <v>79.054553751291493</v>
      </c>
      <c r="B24">
        <f t="shared" si="0"/>
        <v>20.945446248708507</v>
      </c>
      <c r="C24">
        <v>3.6806704012622302</v>
      </c>
    </row>
    <row r="25" spans="1:3" x14ac:dyDescent="0.3">
      <c r="A25">
        <v>83.272726808658305</v>
      </c>
      <c r="B25">
        <f t="shared" si="0"/>
        <v>16.727273191341695</v>
      </c>
      <c r="C25">
        <v>3.6540782116904502</v>
      </c>
    </row>
    <row r="26" spans="1:3" x14ac:dyDescent="0.3">
      <c r="A26">
        <v>85.963644852063098</v>
      </c>
      <c r="B26">
        <f t="shared" si="0"/>
        <v>14.036355147936902</v>
      </c>
      <c r="C26">
        <v>3.63061452553969</v>
      </c>
    </row>
    <row r="27" spans="1:3" x14ac:dyDescent="0.3">
      <c r="A27">
        <v>88.509099468136796</v>
      </c>
      <c r="B27">
        <f t="shared" si="0"/>
        <v>11.490900531863204</v>
      </c>
      <c r="C27">
        <v>3.6071508393889302</v>
      </c>
    </row>
    <row r="28" spans="1:3" x14ac:dyDescent="0.3">
      <c r="A28">
        <v>88.509099468136796</v>
      </c>
      <c r="B28">
        <f t="shared" si="0"/>
        <v>11.490900531863204</v>
      </c>
      <c r="C28">
        <v>3.6071508393889302</v>
      </c>
    </row>
    <row r="29" spans="1:3" x14ac:dyDescent="0.3">
      <c r="A29">
        <v>90.909090656879499</v>
      </c>
      <c r="B29">
        <f t="shared" si="0"/>
        <v>9.0909093431205008</v>
      </c>
      <c r="C29">
        <v>3.57586598419249</v>
      </c>
    </row>
    <row r="30" spans="1:3" x14ac:dyDescent="0.3">
      <c r="A30">
        <v>93.018188282864301</v>
      </c>
      <c r="B30">
        <f t="shared" si="0"/>
        <v>6.9818117171356988</v>
      </c>
      <c r="C30">
        <v>3.5367598406078899</v>
      </c>
    </row>
    <row r="31" spans="1:3" x14ac:dyDescent="0.3">
      <c r="A31">
        <v>94.181818020402801</v>
      </c>
      <c r="B31">
        <f t="shared" si="0"/>
        <v>5.818181979597199</v>
      </c>
      <c r="C31">
        <v>3.5023463626479501</v>
      </c>
    </row>
    <row r="32" spans="1:3" x14ac:dyDescent="0.3">
      <c r="A32">
        <v>95.4181905689084</v>
      </c>
      <c r="B32">
        <f t="shared" si="0"/>
        <v>4.5818094310915995</v>
      </c>
      <c r="C32">
        <v>3.4554189903464199</v>
      </c>
    </row>
    <row r="33" spans="1:3" x14ac:dyDescent="0.3">
      <c r="A33">
        <v>96.363636262751797</v>
      </c>
      <c r="B33">
        <f t="shared" si="0"/>
        <v>3.6363637372482032</v>
      </c>
      <c r="C33">
        <v>3.4037989524202401</v>
      </c>
    </row>
    <row r="34" spans="1:3" x14ac:dyDescent="0.3">
      <c r="A34">
        <v>97.236372437532495</v>
      </c>
      <c r="B34">
        <f t="shared" si="0"/>
        <v>2.7636275624675051</v>
      </c>
      <c r="C34">
        <v>3.34905035140179</v>
      </c>
    </row>
    <row r="35" spans="1:3" x14ac:dyDescent="0.3">
      <c r="A35">
        <v>97.818181757651004</v>
      </c>
      <c r="B35">
        <f t="shared" si="0"/>
        <v>2.1818182423489958</v>
      </c>
      <c r="C35">
        <v>3.29899441600802</v>
      </c>
    </row>
    <row r="36" spans="1:3" x14ac:dyDescent="0.3">
      <c r="A36">
        <v>98.45</v>
      </c>
      <c r="B36">
        <f t="shared" si="0"/>
        <v>1.5499999999999972</v>
      </c>
      <c r="C36">
        <v>3.2395531493649101</v>
      </c>
    </row>
    <row r="37" spans="1:3" x14ac:dyDescent="0.3">
      <c r="A37">
        <v>99.054554306156604</v>
      </c>
      <c r="B37">
        <f t="shared" si="0"/>
        <v>0.94544569384339638</v>
      </c>
      <c r="C37">
        <v>3.1801117633793199</v>
      </c>
    </row>
    <row r="38" spans="1:3" x14ac:dyDescent="0.3">
      <c r="A38">
        <v>99.418190679881405</v>
      </c>
      <c r="B38">
        <f t="shared" si="0"/>
        <v>0.58180932011859454</v>
      </c>
      <c r="C38">
        <v>3.1222347186111001</v>
      </c>
    </row>
    <row r="39" spans="1:3" x14ac:dyDescent="0.3">
      <c r="A39">
        <v>99.781827053606193</v>
      </c>
      <c r="B39">
        <f t="shared" si="0"/>
        <v>0.21817294639380691</v>
      </c>
      <c r="C39">
        <v>3.0643575545004</v>
      </c>
    </row>
    <row r="40" spans="1:3" x14ac:dyDescent="0.3">
      <c r="A40">
        <v>100</v>
      </c>
      <c r="B40">
        <f t="shared" si="0"/>
        <v>0</v>
      </c>
      <c r="C40">
        <v>3</v>
      </c>
    </row>
    <row r="41" spans="1:3" x14ac:dyDescent="0.3">
      <c r="A41">
        <v>100.1</v>
      </c>
      <c r="B41">
        <f t="shared" si="0"/>
        <v>-9.9999999999994316E-2</v>
      </c>
      <c r="C41">
        <v>2.99</v>
      </c>
    </row>
  </sheetData>
  <sortState xmlns:xlrd2="http://schemas.microsoft.com/office/spreadsheetml/2017/richdata2" ref="A2:C41">
    <sortCondition ref="A2:A4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9D7C-AB0B-42E1-9C57-1473A51BA20E}">
  <dimension ref="A1:I55"/>
  <sheetViews>
    <sheetView topLeftCell="F1" zoomScale="103" zoomScaleNormal="57" workbookViewId="0">
      <selection activeCell="N15" sqref="N15"/>
    </sheetView>
  </sheetViews>
  <sheetFormatPr defaultRowHeight="14.4" x14ac:dyDescent="0.3"/>
  <cols>
    <col min="2" max="2" width="10.6640625" customWidth="1"/>
    <col min="4" max="4" width="10.77734375" bestFit="1" customWidth="1"/>
    <col min="5" max="5" width="12" customWidth="1"/>
    <col min="6" max="6" width="13.44140625" customWidth="1"/>
  </cols>
  <sheetData>
    <row r="1" spans="1:9" s="1" customFormat="1" x14ac:dyDescent="0.3">
      <c r="A1" s="1" t="s">
        <v>103</v>
      </c>
      <c r="B1" s="1" t="s">
        <v>104</v>
      </c>
      <c r="C1" s="1" t="s">
        <v>1</v>
      </c>
      <c r="D1" s="1" t="s">
        <v>107</v>
      </c>
      <c r="E1" s="1" t="s">
        <v>112</v>
      </c>
      <c r="F1" s="1" t="s">
        <v>114</v>
      </c>
      <c r="G1" s="1" t="s">
        <v>106</v>
      </c>
    </row>
    <row r="2" spans="1:9" s="1" customFormat="1" x14ac:dyDescent="0.3">
      <c r="C2" s="1" t="s">
        <v>11</v>
      </c>
      <c r="D2" s="1" t="s">
        <v>14</v>
      </c>
      <c r="E2" s="1" t="s">
        <v>113</v>
      </c>
      <c r="F2" s="1" t="s">
        <v>113</v>
      </c>
    </row>
    <row r="3" spans="1:9" x14ac:dyDescent="0.3">
      <c r="A3" t="s">
        <v>109</v>
      </c>
      <c r="B3" s="7" t="s">
        <v>105</v>
      </c>
      <c r="C3">
        <v>3.22</v>
      </c>
      <c r="D3">
        <v>75.7</v>
      </c>
      <c r="E3">
        <f t="shared" ref="E3:E15" si="0">C3*D3</f>
        <v>243.75400000000002</v>
      </c>
      <c r="F3">
        <f t="shared" ref="F3:F14" si="1">4.2*D3</f>
        <v>317.94</v>
      </c>
      <c r="G3" t="s">
        <v>2</v>
      </c>
      <c r="I3" t="s">
        <v>115</v>
      </c>
    </row>
    <row r="4" spans="1:9" x14ac:dyDescent="0.3">
      <c r="A4" t="s">
        <v>109</v>
      </c>
      <c r="B4" s="7" t="s">
        <v>105</v>
      </c>
      <c r="C4">
        <v>3.31</v>
      </c>
      <c r="D4">
        <v>83</v>
      </c>
      <c r="E4">
        <f t="shared" si="0"/>
        <v>274.73</v>
      </c>
      <c r="F4">
        <f t="shared" si="1"/>
        <v>348.6</v>
      </c>
      <c r="G4" t="s">
        <v>3</v>
      </c>
    </row>
    <row r="5" spans="1:9" x14ac:dyDescent="0.3">
      <c r="A5" t="s">
        <v>109</v>
      </c>
      <c r="B5" s="7" t="s">
        <v>105</v>
      </c>
      <c r="C5">
        <v>3.41</v>
      </c>
      <c r="D5">
        <v>85.3</v>
      </c>
      <c r="E5">
        <f t="shared" si="0"/>
        <v>290.87299999999999</v>
      </c>
      <c r="F5">
        <f t="shared" si="1"/>
        <v>358.26</v>
      </c>
      <c r="G5" t="s">
        <v>3</v>
      </c>
    </row>
    <row r="6" spans="1:9" x14ac:dyDescent="0.3">
      <c r="A6" t="s">
        <v>109</v>
      </c>
      <c r="B6" s="7" t="s">
        <v>105</v>
      </c>
      <c r="C6">
        <v>3.46</v>
      </c>
      <c r="D6">
        <v>86.4</v>
      </c>
      <c r="E6">
        <f t="shared" si="0"/>
        <v>298.94400000000002</v>
      </c>
      <c r="F6">
        <f t="shared" si="1"/>
        <v>362.88000000000005</v>
      </c>
      <c r="G6" t="s">
        <v>3</v>
      </c>
    </row>
    <row r="7" spans="1:9" x14ac:dyDescent="0.3">
      <c r="A7" t="s">
        <v>109</v>
      </c>
      <c r="B7" s="7" t="s">
        <v>105</v>
      </c>
      <c r="C7">
        <v>3.51</v>
      </c>
      <c r="D7">
        <v>84.4</v>
      </c>
      <c r="E7">
        <f t="shared" si="0"/>
        <v>296.24400000000003</v>
      </c>
      <c r="F7">
        <f t="shared" si="1"/>
        <v>354.48</v>
      </c>
    </row>
    <row r="8" spans="1:9" x14ac:dyDescent="0.3">
      <c r="A8" t="s">
        <v>109</v>
      </c>
      <c r="B8" s="7" t="s">
        <v>105</v>
      </c>
      <c r="C8">
        <v>3.6</v>
      </c>
      <c r="D8">
        <v>87.6</v>
      </c>
      <c r="E8">
        <f t="shared" si="0"/>
        <v>315.36</v>
      </c>
      <c r="F8">
        <f t="shared" si="1"/>
        <v>367.92</v>
      </c>
    </row>
    <row r="9" spans="1:9" x14ac:dyDescent="0.3">
      <c r="A9" t="s">
        <v>109</v>
      </c>
      <c r="B9" s="7" t="s">
        <v>105</v>
      </c>
      <c r="C9">
        <v>3.7</v>
      </c>
      <c r="D9">
        <v>89.1</v>
      </c>
      <c r="E9">
        <f t="shared" si="0"/>
        <v>329.67</v>
      </c>
      <c r="F9">
        <f t="shared" si="1"/>
        <v>374.21999999999997</v>
      </c>
    </row>
    <row r="10" spans="1:9" x14ac:dyDescent="0.3">
      <c r="A10" t="s">
        <v>109</v>
      </c>
      <c r="B10" s="7" t="s">
        <v>105</v>
      </c>
      <c r="C10">
        <v>3.8</v>
      </c>
      <c r="D10">
        <v>91.3</v>
      </c>
      <c r="E10">
        <f t="shared" si="0"/>
        <v>346.94</v>
      </c>
      <c r="F10">
        <f t="shared" si="1"/>
        <v>383.46</v>
      </c>
    </row>
    <row r="11" spans="1:9" x14ac:dyDescent="0.3">
      <c r="A11" t="s">
        <v>109</v>
      </c>
      <c r="B11" s="7" t="s">
        <v>105</v>
      </c>
      <c r="C11">
        <v>3.9</v>
      </c>
      <c r="D11">
        <v>93.6</v>
      </c>
      <c r="E11">
        <f t="shared" si="0"/>
        <v>365.03999999999996</v>
      </c>
      <c r="F11">
        <f t="shared" si="1"/>
        <v>393.12</v>
      </c>
    </row>
    <row r="12" spans="1:9" x14ac:dyDescent="0.3">
      <c r="A12" t="s">
        <v>109</v>
      </c>
      <c r="B12" s="7" t="s">
        <v>105</v>
      </c>
      <c r="C12">
        <v>3.99</v>
      </c>
      <c r="D12">
        <v>95.9</v>
      </c>
      <c r="E12">
        <f t="shared" si="0"/>
        <v>382.64100000000002</v>
      </c>
      <c r="F12">
        <f t="shared" si="1"/>
        <v>402.78000000000003</v>
      </c>
    </row>
    <row r="13" spans="1:9" x14ac:dyDescent="0.3">
      <c r="A13" t="s">
        <v>109</v>
      </c>
      <c r="B13" s="7" t="s">
        <v>105</v>
      </c>
      <c r="C13">
        <v>4.09</v>
      </c>
      <c r="D13">
        <v>98.2</v>
      </c>
      <c r="E13">
        <f t="shared" si="0"/>
        <v>401.63799999999998</v>
      </c>
      <c r="F13">
        <f t="shared" si="1"/>
        <v>412.44000000000005</v>
      </c>
    </row>
    <row r="14" spans="1:9" x14ac:dyDescent="0.3">
      <c r="A14" t="s">
        <v>109</v>
      </c>
      <c r="B14" s="7" t="s">
        <v>105</v>
      </c>
      <c r="C14">
        <v>4.1900000000000004</v>
      </c>
      <c r="D14">
        <v>100.3</v>
      </c>
      <c r="E14">
        <f t="shared" si="0"/>
        <v>420.25700000000001</v>
      </c>
      <c r="F14">
        <f t="shared" si="1"/>
        <v>421.26</v>
      </c>
    </row>
    <row r="15" spans="1:9" x14ac:dyDescent="0.3">
      <c r="A15" t="s">
        <v>109</v>
      </c>
      <c r="B15" s="7" t="s">
        <v>105</v>
      </c>
      <c r="C15">
        <v>4.29</v>
      </c>
      <c r="D15">
        <v>102.3</v>
      </c>
      <c r="E15">
        <f t="shared" si="0"/>
        <v>438.86700000000002</v>
      </c>
    </row>
    <row r="16" spans="1:9" x14ac:dyDescent="0.3">
      <c r="A16" t="s">
        <v>109</v>
      </c>
      <c r="B16" t="s">
        <v>108</v>
      </c>
      <c r="C16">
        <v>3.51</v>
      </c>
      <c r="D16">
        <v>117.8</v>
      </c>
      <c r="E16">
        <f t="shared" ref="E16:E55" si="2">C16*D16</f>
        <v>413.47799999999995</v>
      </c>
      <c r="F16">
        <f t="shared" ref="F16:F52" si="3">4.2*D16</f>
        <v>494.76</v>
      </c>
    </row>
    <row r="17" spans="1:9" x14ac:dyDescent="0.3">
      <c r="A17" t="s">
        <v>109</v>
      </c>
      <c r="B17" t="s">
        <v>108</v>
      </c>
      <c r="C17">
        <v>3.56</v>
      </c>
      <c r="D17">
        <v>119.8</v>
      </c>
      <c r="E17">
        <f t="shared" si="2"/>
        <v>426.488</v>
      </c>
      <c r="F17">
        <f t="shared" si="3"/>
        <v>503.16</v>
      </c>
    </row>
    <row r="18" spans="1:9" x14ac:dyDescent="0.3">
      <c r="A18" t="s">
        <v>109</v>
      </c>
      <c r="B18" t="s">
        <v>108</v>
      </c>
      <c r="C18">
        <v>3.66</v>
      </c>
      <c r="D18">
        <v>123.3</v>
      </c>
      <c r="E18">
        <f t="shared" si="2"/>
        <v>451.27800000000002</v>
      </c>
      <c r="F18">
        <f t="shared" si="3"/>
        <v>517.86</v>
      </c>
    </row>
    <row r="19" spans="1:9" x14ac:dyDescent="0.3">
      <c r="A19" t="s">
        <v>109</v>
      </c>
      <c r="B19" t="s">
        <v>108</v>
      </c>
      <c r="C19">
        <v>3.76</v>
      </c>
      <c r="D19">
        <v>126.6</v>
      </c>
      <c r="E19">
        <f t="shared" si="2"/>
        <v>476.01599999999996</v>
      </c>
      <c r="F19">
        <f t="shared" si="3"/>
        <v>531.72</v>
      </c>
    </row>
    <row r="20" spans="1:9" x14ac:dyDescent="0.3">
      <c r="A20" t="s">
        <v>109</v>
      </c>
      <c r="B20" t="s">
        <v>108</v>
      </c>
      <c r="C20">
        <v>3.85</v>
      </c>
      <c r="D20">
        <v>130</v>
      </c>
      <c r="E20">
        <f t="shared" si="2"/>
        <v>500.5</v>
      </c>
      <c r="F20">
        <f t="shared" si="3"/>
        <v>546</v>
      </c>
    </row>
    <row r="21" spans="1:9" x14ac:dyDescent="0.3">
      <c r="A21" t="s">
        <v>109</v>
      </c>
      <c r="B21" t="s">
        <v>108</v>
      </c>
      <c r="C21">
        <v>3.95</v>
      </c>
      <c r="D21">
        <v>133.4</v>
      </c>
      <c r="E21">
        <f t="shared" si="2"/>
        <v>526.93000000000006</v>
      </c>
      <c r="F21">
        <f t="shared" si="3"/>
        <v>560.28000000000009</v>
      </c>
    </row>
    <row r="22" spans="1:9" x14ac:dyDescent="0.3">
      <c r="A22" t="s">
        <v>109</v>
      </c>
      <c r="B22" t="s">
        <v>108</v>
      </c>
      <c r="C22">
        <v>4.04</v>
      </c>
      <c r="D22">
        <v>136.69999999999999</v>
      </c>
      <c r="E22">
        <f t="shared" si="2"/>
        <v>552.26799999999992</v>
      </c>
      <c r="F22">
        <f t="shared" si="3"/>
        <v>574.14</v>
      </c>
    </row>
    <row r="23" spans="1:9" x14ac:dyDescent="0.3">
      <c r="A23" t="s">
        <v>109</v>
      </c>
      <c r="B23" t="s">
        <v>108</v>
      </c>
      <c r="C23">
        <v>4.1399999999999997</v>
      </c>
      <c r="D23">
        <v>140.1</v>
      </c>
      <c r="E23">
        <f t="shared" si="2"/>
        <v>580.0139999999999</v>
      </c>
      <c r="F23">
        <f t="shared" si="3"/>
        <v>588.41999999999996</v>
      </c>
    </row>
    <row r="24" spans="1:9" x14ac:dyDescent="0.3">
      <c r="A24" t="s">
        <v>109</v>
      </c>
      <c r="B24" t="s">
        <v>108</v>
      </c>
      <c r="C24">
        <v>4.21</v>
      </c>
      <c r="D24">
        <v>142.30000000000001</v>
      </c>
      <c r="E24">
        <f t="shared" si="2"/>
        <v>599.08300000000008</v>
      </c>
      <c r="F24">
        <f t="shared" si="3"/>
        <v>597.66000000000008</v>
      </c>
    </row>
    <row r="25" spans="1:9" x14ac:dyDescent="0.3">
      <c r="A25" t="s">
        <v>110</v>
      </c>
      <c r="B25" s="7" t="s">
        <v>111</v>
      </c>
      <c r="C25">
        <v>3.3</v>
      </c>
      <c r="D25">
        <v>99.9</v>
      </c>
      <c r="E25">
        <f t="shared" si="2"/>
        <v>329.67</v>
      </c>
      <c r="F25">
        <f t="shared" si="3"/>
        <v>419.58000000000004</v>
      </c>
      <c r="G25" t="s">
        <v>2</v>
      </c>
      <c r="I25" t="s">
        <v>116</v>
      </c>
    </row>
    <row r="26" spans="1:9" x14ac:dyDescent="0.3">
      <c r="A26" t="s">
        <v>110</v>
      </c>
      <c r="B26" s="7" t="s">
        <v>111</v>
      </c>
      <c r="C26">
        <v>3.53</v>
      </c>
      <c r="D26">
        <v>104.7</v>
      </c>
      <c r="E26">
        <f t="shared" si="2"/>
        <v>369.59100000000001</v>
      </c>
      <c r="F26">
        <f t="shared" si="3"/>
        <v>439.74</v>
      </c>
      <c r="G26" t="s">
        <v>3</v>
      </c>
    </row>
    <row r="27" spans="1:9" x14ac:dyDescent="0.3">
      <c r="A27" t="s">
        <v>110</v>
      </c>
      <c r="B27" s="7" t="s">
        <v>111</v>
      </c>
      <c r="C27">
        <v>3.6</v>
      </c>
      <c r="D27">
        <v>103.7</v>
      </c>
      <c r="E27">
        <f t="shared" si="2"/>
        <v>373.32</v>
      </c>
      <c r="F27">
        <f t="shared" si="3"/>
        <v>435.54</v>
      </c>
    </row>
    <row r="28" spans="1:9" x14ac:dyDescent="0.3">
      <c r="A28" t="s">
        <v>110</v>
      </c>
      <c r="B28" s="7" t="s">
        <v>111</v>
      </c>
      <c r="C28">
        <v>3.7</v>
      </c>
      <c r="D28">
        <v>102.9</v>
      </c>
      <c r="E28">
        <f t="shared" si="2"/>
        <v>380.73</v>
      </c>
      <c r="F28">
        <f t="shared" si="3"/>
        <v>432.18000000000006</v>
      </c>
    </row>
    <row r="29" spans="1:9" x14ac:dyDescent="0.3">
      <c r="A29" t="s">
        <v>110</v>
      </c>
      <c r="B29" s="7" t="s">
        <v>111</v>
      </c>
      <c r="C29">
        <v>3.81</v>
      </c>
      <c r="D29">
        <v>102</v>
      </c>
      <c r="E29">
        <f t="shared" si="2"/>
        <v>388.62</v>
      </c>
      <c r="F29">
        <f t="shared" si="3"/>
        <v>428.40000000000003</v>
      </c>
    </row>
    <row r="30" spans="1:9" x14ac:dyDescent="0.3">
      <c r="A30" t="s">
        <v>110</v>
      </c>
      <c r="B30" s="7" t="s">
        <v>111</v>
      </c>
      <c r="C30">
        <v>3.9</v>
      </c>
      <c r="D30">
        <v>101.6</v>
      </c>
      <c r="E30">
        <f t="shared" si="2"/>
        <v>396.23999999999995</v>
      </c>
      <c r="F30">
        <f t="shared" si="3"/>
        <v>426.71999999999997</v>
      </c>
    </row>
    <row r="31" spans="1:9" x14ac:dyDescent="0.3">
      <c r="A31" t="s">
        <v>110</v>
      </c>
      <c r="B31" s="7" t="s">
        <v>111</v>
      </c>
      <c r="C31">
        <v>4</v>
      </c>
      <c r="D31">
        <v>101</v>
      </c>
      <c r="E31">
        <f t="shared" si="2"/>
        <v>404</v>
      </c>
      <c r="F31">
        <f t="shared" si="3"/>
        <v>424.20000000000005</v>
      </c>
    </row>
    <row r="32" spans="1:9" x14ac:dyDescent="0.3">
      <c r="A32" t="s">
        <v>110</v>
      </c>
      <c r="B32" s="7" t="s">
        <v>111</v>
      </c>
      <c r="C32">
        <v>4.0999999999999996</v>
      </c>
      <c r="D32">
        <v>100.6</v>
      </c>
      <c r="E32">
        <f t="shared" si="2"/>
        <v>412.45999999999992</v>
      </c>
      <c r="F32">
        <f t="shared" si="3"/>
        <v>422.52</v>
      </c>
    </row>
    <row r="33" spans="1:9" x14ac:dyDescent="0.3">
      <c r="A33" t="s">
        <v>110</v>
      </c>
      <c r="B33" s="7" t="s">
        <v>111</v>
      </c>
      <c r="C33">
        <v>4.2</v>
      </c>
      <c r="D33">
        <v>100.3</v>
      </c>
      <c r="E33">
        <f t="shared" si="2"/>
        <v>421.26</v>
      </c>
      <c r="F33">
        <f t="shared" si="3"/>
        <v>421.26</v>
      </c>
    </row>
    <row r="34" spans="1:9" x14ac:dyDescent="0.3">
      <c r="A34" t="s">
        <v>110</v>
      </c>
      <c r="B34" t="s">
        <v>108</v>
      </c>
      <c r="C34">
        <v>3.61</v>
      </c>
      <c r="D34">
        <v>134.6</v>
      </c>
      <c r="E34">
        <f t="shared" si="2"/>
        <v>485.90599999999995</v>
      </c>
      <c r="F34">
        <f t="shared" si="3"/>
        <v>565.32000000000005</v>
      </c>
    </row>
    <row r="35" spans="1:9" x14ac:dyDescent="0.3">
      <c r="A35" t="s">
        <v>110</v>
      </c>
      <c r="B35" t="s">
        <v>108</v>
      </c>
      <c r="C35">
        <v>3.8</v>
      </c>
      <c r="D35">
        <v>135.1</v>
      </c>
      <c r="E35">
        <f t="shared" si="2"/>
        <v>513.38</v>
      </c>
      <c r="F35">
        <f t="shared" si="3"/>
        <v>567.41999999999996</v>
      </c>
    </row>
    <row r="36" spans="1:9" x14ac:dyDescent="0.3">
      <c r="A36" t="s">
        <v>110</v>
      </c>
      <c r="B36" t="s">
        <v>108</v>
      </c>
      <c r="C36">
        <v>4</v>
      </c>
      <c r="D36">
        <v>136.1</v>
      </c>
      <c r="E36">
        <f t="shared" si="2"/>
        <v>544.4</v>
      </c>
      <c r="F36">
        <f t="shared" si="3"/>
        <v>571.62</v>
      </c>
    </row>
    <row r="37" spans="1:9" x14ac:dyDescent="0.3">
      <c r="A37" t="s">
        <v>110</v>
      </c>
      <c r="B37" t="s">
        <v>108</v>
      </c>
      <c r="C37">
        <v>4.2</v>
      </c>
      <c r="D37">
        <v>137.4</v>
      </c>
      <c r="E37">
        <f t="shared" si="2"/>
        <v>577.08000000000004</v>
      </c>
      <c r="F37">
        <f t="shared" si="3"/>
        <v>577.08000000000004</v>
      </c>
    </row>
    <row r="38" spans="1:9" x14ac:dyDescent="0.3">
      <c r="A38" t="s">
        <v>117</v>
      </c>
      <c r="B38" s="7" t="s">
        <v>111</v>
      </c>
      <c r="C38">
        <v>2.8</v>
      </c>
      <c r="D38">
        <v>146.19999999999999</v>
      </c>
      <c r="E38">
        <f t="shared" si="2"/>
        <v>409.35999999999996</v>
      </c>
      <c r="F38">
        <f t="shared" si="3"/>
        <v>614.04</v>
      </c>
      <c r="G38" t="s">
        <v>118</v>
      </c>
      <c r="I38" t="s">
        <v>120</v>
      </c>
    </row>
    <row r="39" spans="1:9" x14ac:dyDescent="0.3">
      <c r="A39" t="s">
        <v>117</v>
      </c>
      <c r="B39" s="7" t="s">
        <v>111</v>
      </c>
      <c r="C39">
        <v>2.9</v>
      </c>
      <c r="D39">
        <v>155.6</v>
      </c>
      <c r="E39">
        <f t="shared" si="2"/>
        <v>451.23999999999995</v>
      </c>
      <c r="F39">
        <f t="shared" si="3"/>
        <v>653.52</v>
      </c>
      <c r="G39" t="s">
        <v>3</v>
      </c>
    </row>
    <row r="40" spans="1:9" x14ac:dyDescent="0.3">
      <c r="A40" t="s">
        <v>117</v>
      </c>
      <c r="B40" s="7" t="s">
        <v>111</v>
      </c>
      <c r="C40">
        <v>3</v>
      </c>
      <c r="D40">
        <v>162.19999999999999</v>
      </c>
      <c r="E40">
        <f t="shared" si="2"/>
        <v>486.59999999999997</v>
      </c>
      <c r="F40">
        <f t="shared" si="3"/>
        <v>681.24</v>
      </c>
      <c r="G40" t="s">
        <v>3</v>
      </c>
    </row>
    <row r="41" spans="1:9" x14ac:dyDescent="0.3">
      <c r="A41" t="s">
        <v>117</v>
      </c>
      <c r="B41" t="s">
        <v>111</v>
      </c>
      <c r="C41">
        <v>3.1</v>
      </c>
      <c r="D41">
        <v>165.8</v>
      </c>
      <c r="E41">
        <f t="shared" si="2"/>
        <v>513.98</v>
      </c>
      <c r="F41">
        <f t="shared" si="3"/>
        <v>696.36000000000013</v>
      </c>
      <c r="G41" t="s">
        <v>3</v>
      </c>
    </row>
    <row r="42" spans="1:9" x14ac:dyDescent="0.3">
      <c r="A42" t="s">
        <v>117</v>
      </c>
      <c r="B42" t="s">
        <v>111</v>
      </c>
      <c r="C42">
        <v>3.2</v>
      </c>
      <c r="D42">
        <v>165.9</v>
      </c>
      <c r="E42">
        <f t="shared" si="2"/>
        <v>530.88</v>
      </c>
      <c r="F42">
        <f t="shared" si="3"/>
        <v>696.78000000000009</v>
      </c>
      <c r="G42" t="s">
        <v>3</v>
      </c>
    </row>
    <row r="43" spans="1:9" x14ac:dyDescent="0.3">
      <c r="A43" t="s">
        <v>117</v>
      </c>
      <c r="B43" t="s">
        <v>111</v>
      </c>
      <c r="C43">
        <v>3.3</v>
      </c>
      <c r="D43">
        <v>163.9</v>
      </c>
      <c r="E43">
        <f t="shared" si="2"/>
        <v>540.87</v>
      </c>
      <c r="F43">
        <f t="shared" si="3"/>
        <v>688.38000000000011</v>
      </c>
      <c r="G43" t="s">
        <v>3</v>
      </c>
    </row>
    <row r="44" spans="1:9" x14ac:dyDescent="0.3">
      <c r="A44" t="s">
        <v>117</v>
      </c>
      <c r="B44" t="s">
        <v>111</v>
      </c>
      <c r="C44">
        <v>3.4</v>
      </c>
      <c r="D44">
        <v>161.5</v>
      </c>
      <c r="E44">
        <f t="shared" si="2"/>
        <v>549.1</v>
      </c>
      <c r="F44">
        <f t="shared" si="3"/>
        <v>678.30000000000007</v>
      </c>
      <c r="G44" t="s">
        <v>3</v>
      </c>
    </row>
    <row r="45" spans="1:9" x14ac:dyDescent="0.3">
      <c r="A45" t="s">
        <v>117</v>
      </c>
      <c r="B45" t="s">
        <v>111</v>
      </c>
      <c r="C45">
        <v>3.5</v>
      </c>
      <c r="D45">
        <v>159.1</v>
      </c>
      <c r="E45">
        <f t="shared" si="2"/>
        <v>556.85</v>
      </c>
      <c r="F45">
        <f t="shared" si="3"/>
        <v>668.22</v>
      </c>
      <c r="G45" t="s">
        <v>3</v>
      </c>
    </row>
    <row r="46" spans="1:9" x14ac:dyDescent="0.3">
      <c r="A46" t="s">
        <v>117</v>
      </c>
      <c r="B46" t="s">
        <v>111</v>
      </c>
      <c r="C46">
        <v>3.6</v>
      </c>
      <c r="D46">
        <v>153.19999999999999</v>
      </c>
      <c r="E46">
        <f t="shared" si="2"/>
        <v>551.52</v>
      </c>
      <c r="F46">
        <f t="shared" si="3"/>
        <v>643.43999999999994</v>
      </c>
      <c r="G46" t="s">
        <v>119</v>
      </c>
    </row>
    <row r="47" spans="1:9" x14ac:dyDescent="0.3">
      <c r="A47" t="s">
        <v>117</v>
      </c>
      <c r="B47" t="s">
        <v>111</v>
      </c>
      <c r="C47">
        <v>3.7</v>
      </c>
      <c r="D47">
        <v>150.69999999999999</v>
      </c>
      <c r="E47">
        <f t="shared" si="2"/>
        <v>557.59</v>
      </c>
      <c r="F47">
        <f t="shared" si="3"/>
        <v>632.93999999999994</v>
      </c>
    </row>
    <row r="48" spans="1:9" x14ac:dyDescent="0.3">
      <c r="A48" t="s">
        <v>117</v>
      </c>
      <c r="B48" t="s">
        <v>111</v>
      </c>
      <c r="C48">
        <v>3.8</v>
      </c>
      <c r="D48">
        <v>148.9</v>
      </c>
      <c r="E48">
        <f t="shared" si="2"/>
        <v>565.82000000000005</v>
      </c>
      <c r="F48">
        <f t="shared" si="3"/>
        <v>625.38</v>
      </c>
    </row>
    <row r="49" spans="1:6" x14ac:dyDescent="0.3">
      <c r="A49" t="s">
        <v>117</v>
      </c>
      <c r="B49" t="s">
        <v>111</v>
      </c>
      <c r="C49">
        <v>3.9</v>
      </c>
      <c r="D49">
        <v>147.19999999999999</v>
      </c>
      <c r="E49">
        <f t="shared" si="2"/>
        <v>574.07999999999993</v>
      </c>
      <c r="F49">
        <f t="shared" si="3"/>
        <v>618.24</v>
      </c>
    </row>
    <row r="50" spans="1:6" x14ac:dyDescent="0.3">
      <c r="A50" t="s">
        <v>117</v>
      </c>
      <c r="B50" t="s">
        <v>111</v>
      </c>
      <c r="C50">
        <v>4</v>
      </c>
      <c r="D50">
        <v>145.1</v>
      </c>
      <c r="E50">
        <f t="shared" si="2"/>
        <v>580.4</v>
      </c>
      <c r="F50">
        <f t="shared" si="3"/>
        <v>609.41999999999996</v>
      </c>
    </row>
    <row r="51" spans="1:6" x14ac:dyDescent="0.3">
      <c r="A51" t="s">
        <v>117</v>
      </c>
      <c r="B51" t="s">
        <v>111</v>
      </c>
      <c r="C51">
        <v>4.0999999999999996</v>
      </c>
      <c r="D51">
        <v>143.80000000000001</v>
      </c>
      <c r="E51">
        <f t="shared" si="2"/>
        <v>589.58000000000004</v>
      </c>
      <c r="F51">
        <f t="shared" si="3"/>
        <v>603.96</v>
      </c>
    </row>
    <row r="52" spans="1:6" x14ac:dyDescent="0.3">
      <c r="A52" t="s">
        <v>117</v>
      </c>
      <c r="B52" t="s">
        <v>111</v>
      </c>
      <c r="C52">
        <v>4.2</v>
      </c>
      <c r="D52">
        <v>142.4</v>
      </c>
      <c r="E52">
        <f t="shared" si="2"/>
        <v>598.08000000000004</v>
      </c>
      <c r="F52">
        <f t="shared" si="3"/>
        <v>598.08000000000004</v>
      </c>
    </row>
    <row r="53" spans="1:6" x14ac:dyDescent="0.3">
      <c r="A53" t="s">
        <v>117</v>
      </c>
      <c r="B53" t="s">
        <v>111</v>
      </c>
      <c r="C53">
        <v>4.3</v>
      </c>
      <c r="D53">
        <v>141</v>
      </c>
      <c r="E53">
        <f t="shared" si="2"/>
        <v>606.29999999999995</v>
      </c>
    </row>
    <row r="54" spans="1:6" x14ac:dyDescent="0.3">
      <c r="A54" t="s">
        <v>117</v>
      </c>
      <c r="B54" t="s">
        <v>111</v>
      </c>
      <c r="C54">
        <v>4.4000000000000004</v>
      </c>
      <c r="D54">
        <v>140</v>
      </c>
      <c r="E54">
        <f t="shared" si="2"/>
        <v>616</v>
      </c>
    </row>
    <row r="55" spans="1:6" x14ac:dyDescent="0.3">
      <c r="A55" t="s">
        <v>117</v>
      </c>
      <c r="B55" t="s">
        <v>111</v>
      </c>
      <c r="C55">
        <v>4.5</v>
      </c>
      <c r="D55">
        <v>139</v>
      </c>
      <c r="E55">
        <f t="shared" si="2"/>
        <v>625.5</v>
      </c>
    </row>
  </sheetData>
  <sortState xmlns:xlrd2="http://schemas.microsoft.com/office/spreadsheetml/2017/richdata2" ref="C3:G15">
    <sortCondition ref="C3:C15"/>
  </sortState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E017-8F3D-49BF-858B-83C2E3B2EE12}">
  <dimension ref="A1:T251"/>
  <sheetViews>
    <sheetView tabSelected="1" zoomScale="115" zoomScaleNormal="115" workbookViewId="0">
      <selection activeCell="M13" sqref="M13"/>
    </sheetView>
  </sheetViews>
  <sheetFormatPr defaultRowHeight="14.4" x14ac:dyDescent="0.3"/>
  <cols>
    <col min="2" max="3" width="15" bestFit="1" customWidth="1"/>
    <col min="5" max="5" width="15.109375" bestFit="1" customWidth="1"/>
    <col min="6" max="6" width="17.77734375" customWidth="1"/>
    <col min="8" max="8" width="13.88671875" customWidth="1"/>
    <col min="9" max="9" width="13.109375" customWidth="1"/>
  </cols>
  <sheetData>
    <row r="1" spans="1:20" s="1" customFormat="1" x14ac:dyDescent="0.3">
      <c r="A1" s="1" t="s">
        <v>4</v>
      </c>
      <c r="B1" s="1" t="s">
        <v>122</v>
      </c>
      <c r="K1" s="1" t="s">
        <v>17</v>
      </c>
      <c r="L1" s="1" t="s">
        <v>18</v>
      </c>
      <c r="M1" s="1" t="s">
        <v>21</v>
      </c>
      <c r="N1" s="1" t="s">
        <v>42</v>
      </c>
      <c r="O1" s="1" t="s">
        <v>95</v>
      </c>
      <c r="Q1" s="1" t="s">
        <v>17</v>
      </c>
      <c r="R1" s="1" t="s">
        <v>19</v>
      </c>
      <c r="T1" s="1" t="s">
        <v>94</v>
      </c>
    </row>
    <row r="2" spans="1:20" s="1" customFormat="1" x14ac:dyDescent="0.3">
      <c r="B2" s="1" t="s">
        <v>5</v>
      </c>
      <c r="C2" s="1" t="s">
        <v>5</v>
      </c>
      <c r="D2" s="1" t="s">
        <v>13</v>
      </c>
      <c r="E2" s="1" t="s">
        <v>10</v>
      </c>
      <c r="F2" s="1" t="s">
        <v>121</v>
      </c>
      <c r="G2" s="1" t="s">
        <v>15</v>
      </c>
      <c r="H2" s="1" t="s">
        <v>9</v>
      </c>
      <c r="I2" s="1" t="s">
        <v>16</v>
      </c>
      <c r="K2" s="1" t="s">
        <v>11</v>
      </c>
      <c r="L2" s="1" t="s">
        <v>11</v>
      </c>
      <c r="M2" s="1" t="s">
        <v>11</v>
      </c>
      <c r="N2" s="1" t="s">
        <v>64</v>
      </c>
    </row>
    <row r="3" spans="1:20" s="1" customFormat="1" x14ac:dyDescent="0.3">
      <c r="A3" s="1" t="s">
        <v>8</v>
      </c>
      <c r="B3" s="1" t="s">
        <v>6</v>
      </c>
      <c r="C3" s="1" t="s">
        <v>7</v>
      </c>
      <c r="E3" s="1" t="s">
        <v>11</v>
      </c>
      <c r="F3" s="1" t="s">
        <v>11</v>
      </c>
      <c r="H3" s="1" t="s">
        <v>14</v>
      </c>
      <c r="I3" s="1" t="s">
        <v>7</v>
      </c>
      <c r="K3" s="6">
        <v>3.78</v>
      </c>
      <c r="L3" s="5">
        <v>0.03</v>
      </c>
      <c r="M3">
        <v>2.5000000000000001E-2</v>
      </c>
      <c r="N3" s="4">
        <f>'Quiescent Current'!B15</f>
        <v>85</v>
      </c>
      <c r="O3" s="4">
        <f>_xlfn.XLOOKUP(3.5,F:F,A:A,0,1)</f>
        <v>20.8000000000001</v>
      </c>
      <c r="Q3" s="1" t="s">
        <v>11</v>
      </c>
      <c r="R3" s="1" t="s">
        <v>8</v>
      </c>
    </row>
    <row r="4" spans="1:20" x14ac:dyDescent="0.3">
      <c r="A4">
        <v>0</v>
      </c>
      <c r="B4">
        <v>100</v>
      </c>
      <c r="C4">
        <f>B4*2000/100</f>
        <v>2000</v>
      </c>
      <c r="D4">
        <f>MATCH(B4,Battery!B:B,-1)</f>
        <v>2</v>
      </c>
      <c r="E4" cm="1">
        <f t="array" ref="E4">INDEX(Battery!C:C,D4+1)+(INDEX(Battery!C:C,D4)-INDEX(Battery!C:C,D4+1))/(INDEX(Battery!B:B,D4)-INDEX(Battery!C:C,B4+1))*(B4-INDEX(Battery!C:C,B4+1))</f>
        <v>4.2</v>
      </c>
      <c r="F4">
        <f t="shared" ref="F4:F67" si="0">MIN($K$3,E4-$L$3)-$M$3</f>
        <v>3.7549999999999999</v>
      </c>
      <c r="G4">
        <f>MATCH(F4,Load!C$3:C$15,1)</f>
        <v>7</v>
      </c>
      <c r="H4">
        <f xml:space="preserve"> 22.6* F4+ 5.5703+$N$3*0.001</f>
        <v>90.518299999999996</v>
      </c>
      <c r="I4">
        <f t="shared" ref="I4:I35" si="1">H4*(A5-A4)</f>
        <v>9.0518300000000007</v>
      </c>
      <c r="Q4">
        <v>4</v>
      </c>
      <c r="R4">
        <v>20.5</v>
      </c>
    </row>
    <row r="5" spans="1:20" x14ac:dyDescent="0.3">
      <c r="A5">
        <v>0.1</v>
      </c>
      <c r="B5">
        <f>C5/C$4*100</f>
        <v>99.547408499999989</v>
      </c>
      <c r="C5">
        <f t="shared" ref="C5:C36" si="2">C4-I4</f>
        <v>1990.9481699999999</v>
      </c>
      <c r="D5">
        <f>MATCH(B5,Battery!B:B,-1)</f>
        <v>4</v>
      </c>
      <c r="E5" cm="1">
        <f t="array" ref="E5">INDEX(Battery!C:C,D5+1)+(INDEX(Battery!C:C,D5)-INDEX(Battery!C:C,D5+1))/(INDEX(Battery!B:B,D5)-INDEX(Battery!C:C,B5+1))*(B5-INDEX(Battery!C:C,B5+1))</f>
        <v>4.1577486241041655</v>
      </c>
      <c r="F5">
        <f t="shared" si="0"/>
        <v>3.7549999999999999</v>
      </c>
      <c r="G5">
        <f>MATCH(F5,Load!C$3:C$15,1)</f>
        <v>7</v>
      </c>
      <c r="H5">
        <f t="shared" ref="H4:H67" si="3" xml:space="preserve"> 22.6* F5+ 5.5703+$N$3*0.001</f>
        <v>90.518299999999996</v>
      </c>
      <c r="I5">
        <f t="shared" si="1"/>
        <v>9.0518300000000007</v>
      </c>
      <c r="Q5">
        <v>3.9</v>
      </c>
      <c r="R5">
        <v>20.6</v>
      </c>
    </row>
    <row r="6" spans="1:20" x14ac:dyDescent="0.3">
      <c r="A6">
        <v>0.2</v>
      </c>
      <c r="B6">
        <f t="shared" ref="B6:B184" si="4">C6/C$4*100</f>
        <v>99.094816999999992</v>
      </c>
      <c r="C6">
        <f t="shared" si="2"/>
        <v>1981.8963399999998</v>
      </c>
      <c r="D6">
        <f>MATCH(B6,Battery!B:B,-1)</f>
        <v>4</v>
      </c>
      <c r="E6" cm="1">
        <f t="array" ref="E6">INDEX(Battery!C:C,D6+1)+(INDEX(Battery!C:C,D6)-INDEX(Battery!C:C,D6+1))/(INDEX(Battery!B:B,D6)-INDEX(Battery!C:C,B6+1))*(B6-INDEX(Battery!C:C,B6+1))</f>
        <v>4.1576633580022397</v>
      </c>
      <c r="F6">
        <f t="shared" si="0"/>
        <v>3.7549999999999999</v>
      </c>
      <c r="G6">
        <f>MATCH(F6,Load!C$3:C$15,1)</f>
        <v>7</v>
      </c>
      <c r="H6">
        <f t="shared" si="3"/>
        <v>90.518299999999996</v>
      </c>
      <c r="I6">
        <f t="shared" si="1"/>
        <v>9.0518299999999972</v>
      </c>
      <c r="Q6">
        <v>3.8</v>
      </c>
      <c r="R6">
        <v>20.7</v>
      </c>
    </row>
    <row r="7" spans="1:20" x14ac:dyDescent="0.3">
      <c r="A7">
        <v>0.3</v>
      </c>
      <c r="B7">
        <f t="shared" si="4"/>
        <v>98.642225499999981</v>
      </c>
      <c r="C7">
        <f t="shared" si="2"/>
        <v>1972.8445099999997</v>
      </c>
      <c r="D7">
        <f>MATCH(B7,Battery!B:B,-1)</f>
        <v>5</v>
      </c>
      <c r="E7" cm="1">
        <f t="array" ref="E7">INDEX(Battery!C:C,D7+1)+(INDEX(Battery!C:C,D7)-INDEX(Battery!C:C,D7+1))/(INDEX(Battery!B:B,D7)-INDEX(Battery!C:C,B7+1))*(B7-INDEX(Battery!C:C,B7+1))</f>
        <v>4.1389521575854893</v>
      </c>
      <c r="F7">
        <f t="shared" si="0"/>
        <v>3.7549999999999999</v>
      </c>
      <c r="G7">
        <f>MATCH(F7,Load!C$3:C$15,1)</f>
        <v>7</v>
      </c>
      <c r="H7">
        <f t="shared" si="3"/>
        <v>90.518299999999996</v>
      </c>
      <c r="I7">
        <f t="shared" si="1"/>
        <v>9.0518300000000025</v>
      </c>
      <c r="Q7">
        <v>3.7</v>
      </c>
      <c r="R7">
        <v>21</v>
      </c>
    </row>
    <row r="8" spans="1:20" x14ac:dyDescent="0.3">
      <c r="A8">
        <v>0.4</v>
      </c>
      <c r="B8">
        <f t="shared" si="4"/>
        <v>98.189633999999984</v>
      </c>
      <c r="C8">
        <f t="shared" si="2"/>
        <v>1963.7926799999996</v>
      </c>
      <c r="D8">
        <f>MATCH(B8,Battery!B:B,-1)</f>
        <v>5</v>
      </c>
      <c r="E8" cm="1">
        <f t="array" ref="E8">INDEX(Battery!C:C,D8+1)+(INDEX(Battery!C:C,D8)-INDEX(Battery!C:C,D8+1))/(INDEX(Battery!B:B,D8)-INDEX(Battery!C:C,B8+1))*(B8-INDEX(Battery!C:C,B8+1))</f>
        <v>4.1388805803097224</v>
      </c>
      <c r="F8">
        <f t="shared" si="0"/>
        <v>3.7549999999999999</v>
      </c>
      <c r="G8">
        <f>MATCH(F8,Load!C$3:C$15,1)</f>
        <v>7</v>
      </c>
      <c r="H8">
        <f t="shared" si="3"/>
        <v>90.518299999999996</v>
      </c>
      <c r="I8">
        <f t="shared" si="1"/>
        <v>9.0518299999999972</v>
      </c>
      <c r="Q8">
        <v>3.6</v>
      </c>
      <c r="R8">
        <v>21.5</v>
      </c>
    </row>
    <row r="9" spans="1:20" x14ac:dyDescent="0.3">
      <c r="A9">
        <v>0.5</v>
      </c>
      <c r="B9">
        <f t="shared" si="4"/>
        <v>97.737042499999973</v>
      </c>
      <c r="C9">
        <f t="shared" si="2"/>
        <v>1954.7408499999995</v>
      </c>
      <c r="D9">
        <f>MATCH(B9,Battery!B:B,-1)</f>
        <v>6</v>
      </c>
      <c r="E9" cm="1">
        <f t="array" ref="E9">INDEX(Battery!C:C,D9+1)+(INDEX(Battery!C:C,D9)-INDEX(Battery!C:C,D9+1))/(INDEX(Battery!B:B,D9)-INDEX(Battery!C:C,B9+1))*(B9-INDEX(Battery!C:C,B9+1))</f>
        <v>4.1233280254213618</v>
      </c>
      <c r="F9">
        <f t="shared" si="0"/>
        <v>3.7549999999999999</v>
      </c>
      <c r="G9">
        <f>MATCH(F9,Load!C$3:C$15,1)</f>
        <v>7</v>
      </c>
      <c r="H9">
        <f t="shared" si="3"/>
        <v>90.518299999999996</v>
      </c>
      <c r="I9">
        <f t="shared" si="1"/>
        <v>9.0518299999999972</v>
      </c>
      <c r="Q9">
        <v>3.55</v>
      </c>
      <c r="R9">
        <v>21.8</v>
      </c>
    </row>
    <row r="10" spans="1:20" x14ac:dyDescent="0.3">
      <c r="A10">
        <v>0.6</v>
      </c>
      <c r="B10">
        <f t="shared" si="4"/>
        <v>97.284450999999976</v>
      </c>
      <c r="C10">
        <f t="shared" si="2"/>
        <v>1945.6890199999993</v>
      </c>
      <c r="D10">
        <f>MATCH(B10,Battery!B:B,-1)</f>
        <v>7</v>
      </c>
      <c r="E10" cm="1">
        <f t="array" ref="E10">INDEX(Battery!C:C,D10+1)+(INDEX(Battery!C:C,D10)-INDEX(Battery!C:C,D10+1))/(INDEX(Battery!B:B,D10)-INDEX(Battery!C:C,B10+1))*(B10-INDEX(Battery!C:C,B10+1))</f>
        <v>4.1155275075556297</v>
      </c>
      <c r="F10">
        <f t="shared" si="0"/>
        <v>3.7549999999999999</v>
      </c>
      <c r="G10">
        <f>MATCH(F10,Load!C$3:C$15,1)</f>
        <v>7</v>
      </c>
      <c r="H10">
        <f t="shared" si="3"/>
        <v>90.518299999999996</v>
      </c>
      <c r="I10">
        <f t="shared" si="1"/>
        <v>9.0518299999999972</v>
      </c>
    </row>
    <row r="11" spans="1:20" x14ac:dyDescent="0.3">
      <c r="A11">
        <v>0.7</v>
      </c>
      <c r="B11">
        <f t="shared" si="4"/>
        <v>96.831859499999965</v>
      </c>
      <c r="C11">
        <f t="shared" si="2"/>
        <v>1936.6371899999992</v>
      </c>
      <c r="D11">
        <f>MATCH(B11,Battery!B:B,-1)</f>
        <v>7</v>
      </c>
      <c r="E11" cm="1">
        <f t="array" ref="E11">INDEX(Battery!C:C,D11+1)+(INDEX(Battery!C:C,D11)-INDEX(Battery!C:C,D11+1))/(INDEX(Battery!B:B,D11)-INDEX(Battery!C:C,B11+1))*(B11-INDEX(Battery!C:C,B11+1))</f>
        <v>4.1154693045429962</v>
      </c>
      <c r="F11">
        <f t="shared" si="0"/>
        <v>3.7549999999999999</v>
      </c>
      <c r="G11">
        <f>MATCH(F11,Load!C$3:C$15,1)</f>
        <v>7</v>
      </c>
      <c r="H11">
        <f t="shared" si="3"/>
        <v>90.518299999999996</v>
      </c>
      <c r="I11">
        <f t="shared" si="1"/>
        <v>9.0518300000000078</v>
      </c>
      <c r="P11" s="8" t="s">
        <v>96</v>
      </c>
      <c r="Q11" s="8">
        <v>3.63</v>
      </c>
      <c r="R11" s="8">
        <v>21.3</v>
      </c>
    </row>
    <row r="12" spans="1:20" x14ac:dyDescent="0.3">
      <c r="A12">
        <v>0.8</v>
      </c>
      <c r="B12">
        <f t="shared" si="4"/>
        <v>96.379267999999954</v>
      </c>
      <c r="C12">
        <f t="shared" si="2"/>
        <v>1927.5853599999991</v>
      </c>
      <c r="D12">
        <f>MATCH(B12,Battery!B:B,-1)</f>
        <v>7</v>
      </c>
      <c r="E12" cm="1">
        <f t="array" ref="E12">INDEX(Battery!C:C,D12+1)+(INDEX(Battery!C:C,D12)-INDEX(Battery!C:C,D12+1))/(INDEX(Battery!B:B,D12)-INDEX(Battery!C:C,B12+1))*(B12-INDEX(Battery!C:C,B12+1))</f>
        <v>4.1154111015303627</v>
      </c>
      <c r="F12">
        <f t="shared" si="0"/>
        <v>3.7549999999999999</v>
      </c>
      <c r="G12">
        <f>MATCH(F12,Load!C$3:C$15,1)</f>
        <v>7</v>
      </c>
      <c r="H12">
        <f t="shared" si="3"/>
        <v>90.518299999999996</v>
      </c>
      <c r="I12">
        <f t="shared" si="1"/>
        <v>9.0518299999999972</v>
      </c>
      <c r="P12" t="s">
        <v>97</v>
      </c>
      <c r="Q12">
        <v>3.7</v>
      </c>
      <c r="R12">
        <v>21</v>
      </c>
    </row>
    <row r="13" spans="1:20" x14ac:dyDescent="0.3">
      <c r="A13">
        <v>0.9</v>
      </c>
      <c r="B13">
        <f t="shared" si="4"/>
        <v>95.926676499999957</v>
      </c>
      <c r="C13">
        <f t="shared" si="2"/>
        <v>1918.533529999999</v>
      </c>
      <c r="D13">
        <f>MATCH(B13,Battery!B:B,-1)</f>
        <v>8</v>
      </c>
      <c r="E13" cm="1">
        <f t="array" ref="E13">INDEX(Battery!C:C,D13+1)+(INDEX(Battery!C:C,D13)-INDEX(Battery!C:C,D13+1))/(INDEX(Battery!B:B,D13)-INDEX(Battery!C:C,B13+1))*(B13-INDEX(Battery!C:C,B13+1))</f>
        <v>4.1029316648421847</v>
      </c>
      <c r="F13">
        <f t="shared" si="0"/>
        <v>3.7549999999999999</v>
      </c>
      <c r="G13">
        <f>MATCH(F13,Load!C$3:C$15,1)</f>
        <v>7</v>
      </c>
      <c r="H13">
        <f t="shared" si="3"/>
        <v>90.518299999999996</v>
      </c>
      <c r="I13">
        <f t="shared" si="1"/>
        <v>9.0518299999999972</v>
      </c>
      <c r="P13" s="1" t="s">
        <v>98</v>
      </c>
      <c r="Q13" s="1">
        <v>3.78</v>
      </c>
      <c r="R13" s="1">
        <v>20.8</v>
      </c>
    </row>
    <row r="14" spans="1:20" x14ac:dyDescent="0.3">
      <c r="A14">
        <v>1</v>
      </c>
      <c r="B14">
        <f t="shared" si="4"/>
        <v>95.474084999999945</v>
      </c>
      <c r="C14">
        <f t="shared" si="2"/>
        <v>1909.4816999999989</v>
      </c>
      <c r="D14">
        <f>MATCH(B14,Battery!B:B,-1)</f>
        <v>8</v>
      </c>
      <c r="E14" cm="1">
        <f t="array" ref="E14">INDEX(Battery!C:C,D14+1)+(INDEX(Battery!C:C,D14)-INDEX(Battery!C:C,D14+1))/(INDEX(Battery!B:B,D14)-INDEX(Battery!C:C,B14+1))*(B14-INDEX(Battery!C:C,B14+1))</f>
        <v>4.1028435029102992</v>
      </c>
      <c r="F14">
        <f t="shared" si="0"/>
        <v>3.7549999999999999</v>
      </c>
      <c r="G14">
        <f>MATCH(F14,Load!C$3:C$15,1)</f>
        <v>7</v>
      </c>
      <c r="H14">
        <f t="shared" si="3"/>
        <v>90.518299999999996</v>
      </c>
      <c r="I14">
        <f t="shared" si="1"/>
        <v>9.0518300000000078</v>
      </c>
      <c r="Q14" s="1"/>
      <c r="R14" s="1"/>
    </row>
    <row r="15" spans="1:20" x14ac:dyDescent="0.3">
      <c r="A15">
        <v>1.1000000000000001</v>
      </c>
      <c r="B15">
        <f t="shared" si="4"/>
        <v>95.021493499999949</v>
      </c>
      <c r="C15">
        <f t="shared" si="2"/>
        <v>1900.4298699999988</v>
      </c>
      <c r="D15">
        <f>MATCH(B15,Battery!B:B,-1)</f>
        <v>8</v>
      </c>
      <c r="E15" cm="1">
        <f t="array" ref="E15">INDEX(Battery!C:C,D15+1)+(INDEX(Battery!C:C,D15)-INDEX(Battery!C:C,D15+1))/(INDEX(Battery!B:B,D15)-INDEX(Battery!C:C,B15+1))*(B15-INDEX(Battery!C:C,B15+1))</f>
        <v>4.1027553409784137</v>
      </c>
      <c r="F15">
        <f t="shared" si="0"/>
        <v>3.7549999999999999</v>
      </c>
      <c r="G15">
        <f>MATCH(F15,Load!C$3:C$15,1)</f>
        <v>7</v>
      </c>
      <c r="H15">
        <f t="shared" si="3"/>
        <v>90.518299999999996</v>
      </c>
      <c r="I15">
        <f t="shared" si="1"/>
        <v>9.0518299999999883</v>
      </c>
    </row>
    <row r="16" spans="1:20" x14ac:dyDescent="0.3">
      <c r="A16">
        <v>1.2</v>
      </c>
      <c r="B16">
        <f t="shared" si="4"/>
        <v>94.568901999999937</v>
      </c>
      <c r="C16">
        <f t="shared" si="2"/>
        <v>1891.3780399999989</v>
      </c>
      <c r="D16">
        <f>MATCH(B16,Battery!B:B,-1)</f>
        <v>9</v>
      </c>
      <c r="E16" cm="1">
        <f t="array" ref="E16">INDEX(Battery!C:C,D16+1)+(INDEX(Battery!C:C,D16)-INDEX(Battery!C:C,D16+1))/(INDEX(Battery!B:B,D16)-INDEX(Battery!C:C,B16+1))*(B16-INDEX(Battery!C:C,B16+1))</f>
        <v>4.0841589717690976</v>
      </c>
      <c r="F16">
        <f t="shared" si="0"/>
        <v>3.7549999999999999</v>
      </c>
      <c r="G16">
        <f>MATCH(F16,Load!C$3:C$15,1)</f>
        <v>7</v>
      </c>
      <c r="H16">
        <f t="shared" si="3"/>
        <v>90.518299999999996</v>
      </c>
      <c r="I16">
        <f t="shared" si="1"/>
        <v>9.0518300000000078</v>
      </c>
      <c r="Q16" t="s">
        <v>48</v>
      </c>
      <c r="R16">
        <v>20.5</v>
      </c>
    </row>
    <row r="17" spans="1:18" x14ac:dyDescent="0.3">
      <c r="A17">
        <v>1.3</v>
      </c>
      <c r="B17">
        <f t="shared" si="4"/>
        <v>94.11631049999994</v>
      </c>
      <c r="C17">
        <f t="shared" si="2"/>
        <v>1882.3262099999988</v>
      </c>
      <c r="D17">
        <f>MATCH(B17,Battery!B:B,-1)</f>
        <v>9</v>
      </c>
      <c r="E17" cm="1">
        <f t="array" ref="E17">INDEX(Battery!C:C,D17+1)+(INDEX(Battery!C:C,D17)-INDEX(Battery!C:C,D17+1))/(INDEX(Battery!B:B,D17)-INDEX(Battery!C:C,B17+1))*(B17-INDEX(Battery!C:C,B17+1))</f>
        <v>4.0839572593548752</v>
      </c>
      <c r="F17">
        <f t="shared" si="0"/>
        <v>3.7549999999999999</v>
      </c>
      <c r="G17">
        <f>MATCH(F17,Load!C$3:C$15,1)</f>
        <v>7</v>
      </c>
      <c r="H17">
        <f t="shared" si="3"/>
        <v>90.518299999999996</v>
      </c>
      <c r="I17">
        <f t="shared" si="1"/>
        <v>9.0518299999999883</v>
      </c>
    </row>
    <row r="18" spans="1:18" x14ac:dyDescent="0.3">
      <c r="A18">
        <v>1.4</v>
      </c>
      <c r="B18">
        <f t="shared" si="4"/>
        <v>93.663718999999944</v>
      </c>
      <c r="C18">
        <f t="shared" si="2"/>
        <v>1873.2743799999989</v>
      </c>
      <c r="D18">
        <f>MATCH(B18,Battery!B:B,-1)</f>
        <v>9</v>
      </c>
      <c r="E18" cm="1">
        <f t="array" ref="E18">INDEX(Battery!C:C,D18+1)+(INDEX(Battery!C:C,D18)-INDEX(Battery!C:C,D18+1))/(INDEX(Battery!B:B,D18)-INDEX(Battery!C:C,B18+1))*(B18-INDEX(Battery!C:C,B18+1))</f>
        <v>4.0837555469406528</v>
      </c>
      <c r="F18">
        <f t="shared" si="0"/>
        <v>3.7549999999999999</v>
      </c>
      <c r="G18">
        <f>MATCH(F18,Load!C$3:C$15,1)</f>
        <v>7</v>
      </c>
      <c r="H18">
        <f t="shared" si="3"/>
        <v>90.518299999999996</v>
      </c>
      <c r="I18">
        <f t="shared" si="1"/>
        <v>9.0518300000000078</v>
      </c>
      <c r="Q18" s="1"/>
      <c r="R18" s="1"/>
    </row>
    <row r="19" spans="1:18" x14ac:dyDescent="0.3">
      <c r="A19">
        <v>1.5</v>
      </c>
      <c r="B19">
        <f t="shared" si="4"/>
        <v>93.211127499999947</v>
      </c>
      <c r="C19">
        <f t="shared" si="2"/>
        <v>1864.2225499999988</v>
      </c>
      <c r="D19">
        <f>MATCH(B19,Battery!B:B,-1)</f>
        <v>9</v>
      </c>
      <c r="E19" cm="1">
        <f t="array" ref="E19">INDEX(Battery!C:C,D19+1)+(INDEX(Battery!C:C,D19)-INDEX(Battery!C:C,D19+1))/(INDEX(Battery!B:B,D19)-INDEX(Battery!C:C,B19+1))*(B19-INDEX(Battery!C:C,B19+1))</f>
        <v>4.0835538345264295</v>
      </c>
      <c r="F19">
        <f t="shared" si="0"/>
        <v>3.7549999999999999</v>
      </c>
      <c r="G19">
        <f>MATCH(F19,Load!C$3:C$15,1)</f>
        <v>7</v>
      </c>
      <c r="H19">
        <f t="shared" si="3"/>
        <v>90.518299999999996</v>
      </c>
      <c r="I19">
        <f t="shared" si="1"/>
        <v>9.0518300000000078</v>
      </c>
    </row>
    <row r="20" spans="1:18" x14ac:dyDescent="0.3">
      <c r="A20">
        <v>1.6</v>
      </c>
      <c r="B20">
        <f t="shared" si="4"/>
        <v>92.758535999999935</v>
      </c>
      <c r="C20">
        <f t="shared" si="2"/>
        <v>1855.1707199999987</v>
      </c>
      <c r="D20">
        <f>MATCH(B20,Battery!B:B,-1)</f>
        <v>9</v>
      </c>
      <c r="E20" cm="1">
        <f t="array" ref="E20">INDEX(Battery!C:C,D20+1)+(INDEX(Battery!C:C,D20)-INDEX(Battery!C:C,D20+1))/(INDEX(Battery!B:B,D20)-INDEX(Battery!C:C,B20+1))*(B20-INDEX(Battery!C:C,B20+1))</f>
        <v>4.0833521221122071</v>
      </c>
      <c r="F20">
        <f t="shared" si="0"/>
        <v>3.7549999999999999</v>
      </c>
      <c r="G20">
        <f>MATCH(F20,Load!C$3:C$15,1)</f>
        <v>7</v>
      </c>
      <c r="H20">
        <f t="shared" si="3"/>
        <v>90.518299999999996</v>
      </c>
      <c r="I20">
        <f t="shared" si="1"/>
        <v>9.0518299999999883</v>
      </c>
    </row>
    <row r="21" spans="1:18" x14ac:dyDescent="0.3">
      <c r="A21">
        <v>1.7</v>
      </c>
      <c r="B21">
        <f t="shared" si="4"/>
        <v>92.305944499999939</v>
      </c>
      <c r="C21">
        <f t="shared" si="2"/>
        <v>1846.1188899999988</v>
      </c>
      <c r="D21">
        <f>MATCH(B21,Battery!B:B,-1)</f>
        <v>9</v>
      </c>
      <c r="E21" cm="1">
        <f t="array" ref="E21">INDEX(Battery!C:C,D21+1)+(INDEX(Battery!C:C,D21)-INDEX(Battery!C:C,D21+1))/(INDEX(Battery!B:B,D21)-INDEX(Battery!C:C,B21+1))*(B21-INDEX(Battery!C:C,B21+1))</f>
        <v>4.0831504096979847</v>
      </c>
      <c r="F21">
        <f t="shared" si="0"/>
        <v>3.7549999999999999</v>
      </c>
      <c r="G21">
        <f>MATCH(F21,Load!C$3:C$15,1)</f>
        <v>7</v>
      </c>
      <c r="H21">
        <f t="shared" si="3"/>
        <v>90.518299999999996</v>
      </c>
      <c r="I21">
        <f t="shared" si="1"/>
        <v>9.0518300000000078</v>
      </c>
    </row>
    <row r="22" spans="1:18" x14ac:dyDescent="0.3">
      <c r="A22">
        <v>1.8</v>
      </c>
      <c r="B22">
        <f t="shared" si="4"/>
        <v>91.853352999999942</v>
      </c>
      <c r="C22">
        <f t="shared" si="2"/>
        <v>1837.0670599999987</v>
      </c>
      <c r="D22">
        <f>MATCH(B22,Battery!B:B,-1)</f>
        <v>9</v>
      </c>
      <c r="E22" cm="1">
        <f t="array" ref="E22">INDEX(Battery!C:C,D22+1)+(INDEX(Battery!C:C,D22)-INDEX(Battery!C:C,D22+1))/(INDEX(Battery!B:B,D22)-INDEX(Battery!C:C,B22+1))*(B22-INDEX(Battery!C:C,B22+1))</f>
        <v>4.0829486972837614</v>
      </c>
      <c r="F22">
        <f t="shared" si="0"/>
        <v>3.7549999999999999</v>
      </c>
      <c r="G22">
        <f>MATCH(F22,Load!C$3:C$15,1)</f>
        <v>7</v>
      </c>
      <c r="H22">
        <f t="shared" si="3"/>
        <v>90.518299999999996</v>
      </c>
      <c r="I22">
        <f t="shared" si="1"/>
        <v>9.0518299999999883</v>
      </c>
    </row>
    <row r="23" spans="1:18" x14ac:dyDescent="0.3">
      <c r="A23">
        <v>1.9</v>
      </c>
      <c r="B23">
        <f t="shared" si="4"/>
        <v>91.400761499999945</v>
      </c>
      <c r="C23">
        <f t="shared" si="2"/>
        <v>1828.0152299999988</v>
      </c>
      <c r="D23">
        <f>MATCH(B23,Battery!B:B,-1)</f>
        <v>9</v>
      </c>
      <c r="E23" cm="1">
        <f t="array" ref="E23">INDEX(Battery!C:C,D23+1)+(INDEX(Battery!C:C,D23)-INDEX(Battery!C:C,D23+1))/(INDEX(Battery!B:B,D23)-INDEX(Battery!C:C,B23+1))*(B23-INDEX(Battery!C:C,B23+1))</f>
        <v>4.082746984869539</v>
      </c>
      <c r="F23">
        <f t="shared" si="0"/>
        <v>3.7549999999999999</v>
      </c>
      <c r="G23">
        <f>MATCH(F23,Load!C$3:C$15,1)</f>
        <v>7</v>
      </c>
      <c r="H23">
        <f t="shared" si="3"/>
        <v>90.518299999999996</v>
      </c>
      <c r="I23">
        <f t="shared" si="1"/>
        <v>9.0518300000000078</v>
      </c>
    </row>
    <row r="24" spans="1:18" x14ac:dyDescent="0.3">
      <c r="A24">
        <v>2</v>
      </c>
      <c r="B24">
        <f t="shared" si="4"/>
        <v>90.948169999999934</v>
      </c>
      <c r="C24">
        <f t="shared" si="2"/>
        <v>1818.9633999999987</v>
      </c>
      <c r="D24">
        <f>MATCH(B24,Battery!B:B,-1)</f>
        <v>9</v>
      </c>
      <c r="E24" cm="1">
        <f t="array" ref="E24">INDEX(Battery!C:C,D24+1)+(INDEX(Battery!C:C,D24)-INDEX(Battery!C:C,D24+1))/(INDEX(Battery!B:B,D24)-INDEX(Battery!C:C,B24+1))*(B24-INDEX(Battery!C:C,B24+1))</f>
        <v>4.0825452724553166</v>
      </c>
      <c r="F24">
        <f t="shared" si="0"/>
        <v>3.7549999999999999</v>
      </c>
      <c r="G24">
        <f>MATCH(F24,Load!C$3:C$15,1)</f>
        <v>7</v>
      </c>
      <c r="H24">
        <f t="shared" si="3"/>
        <v>90.518299999999996</v>
      </c>
      <c r="I24">
        <f t="shared" si="1"/>
        <v>9.0518300000000078</v>
      </c>
    </row>
    <row r="25" spans="1:18" x14ac:dyDescent="0.3">
      <c r="A25">
        <v>2.1</v>
      </c>
      <c r="B25">
        <f t="shared" si="4"/>
        <v>90.495578499999922</v>
      </c>
      <c r="C25">
        <f t="shared" si="2"/>
        <v>1809.9115699999986</v>
      </c>
      <c r="D25">
        <f>MATCH(B25,Battery!B:B,-1)</f>
        <v>10</v>
      </c>
      <c r="E25" cm="1">
        <f t="array" ref="E25">INDEX(Battery!C:C,D25+1)+(INDEX(Battery!C:C,D25)-INDEX(Battery!C:C,D25+1))/(INDEX(Battery!B:B,D25)-INDEX(Battery!C:C,B25+1))*(B25-INDEX(Battery!C:C,B25+1))</f>
        <v>4.0419188083904949</v>
      </c>
      <c r="F25">
        <f t="shared" si="0"/>
        <v>3.7549999999999999</v>
      </c>
      <c r="G25">
        <f>MATCH(F25,Load!C$3:C$15,1)</f>
        <v>7</v>
      </c>
      <c r="H25">
        <f t="shared" si="3"/>
        <v>90.518299999999996</v>
      </c>
      <c r="I25">
        <f t="shared" si="1"/>
        <v>9.0518300000000078</v>
      </c>
    </row>
    <row r="26" spans="1:18" x14ac:dyDescent="0.3">
      <c r="A26">
        <v>2.2000000000000002</v>
      </c>
      <c r="B26">
        <f t="shared" si="4"/>
        <v>90.042986999999926</v>
      </c>
      <c r="C26">
        <f t="shared" si="2"/>
        <v>1800.8597399999985</v>
      </c>
      <c r="D26">
        <f>MATCH(B26,Battery!B:B,-1)</f>
        <v>10</v>
      </c>
      <c r="E26" cm="1">
        <f t="array" ref="E26">INDEX(Battery!C:C,D26+1)+(INDEX(Battery!C:C,D26)-INDEX(Battery!C:C,D26+1))/(INDEX(Battery!B:B,D26)-INDEX(Battery!C:C,B26+1))*(B26-INDEX(Battery!C:C,B26+1))</f>
        <v>4.0417628066342717</v>
      </c>
      <c r="F26">
        <f t="shared" si="0"/>
        <v>3.7549999999999999</v>
      </c>
      <c r="G26">
        <f>MATCH(F26,Load!C$3:C$15,1)</f>
        <v>7</v>
      </c>
      <c r="H26">
        <f t="shared" si="3"/>
        <v>90.518299999999996</v>
      </c>
      <c r="I26">
        <f t="shared" si="1"/>
        <v>9.051829999999967</v>
      </c>
    </row>
    <row r="27" spans="1:18" x14ac:dyDescent="0.3">
      <c r="A27">
        <v>2.2999999999999998</v>
      </c>
      <c r="B27">
        <f t="shared" si="4"/>
        <v>89.590395499999929</v>
      </c>
      <c r="C27">
        <f t="shared" si="2"/>
        <v>1791.8079099999986</v>
      </c>
      <c r="D27">
        <f>MATCH(B27,Battery!B:B,-1)</f>
        <v>10</v>
      </c>
      <c r="E27" cm="1">
        <f t="array" ref="E27">INDEX(Battery!C:C,D27+1)+(INDEX(Battery!C:C,D27)-INDEX(Battery!C:C,D27+1))/(INDEX(Battery!B:B,D27)-INDEX(Battery!C:C,B27+1))*(B27-INDEX(Battery!C:C,B27+1))</f>
        <v>4.0416068048780494</v>
      </c>
      <c r="F27">
        <f t="shared" si="0"/>
        <v>3.7549999999999999</v>
      </c>
      <c r="G27">
        <f>MATCH(F27,Load!C$3:C$15,1)</f>
        <v>7</v>
      </c>
      <c r="H27">
        <f t="shared" si="3"/>
        <v>90.518299999999996</v>
      </c>
      <c r="I27">
        <f t="shared" si="1"/>
        <v>9.0518300000000078</v>
      </c>
    </row>
    <row r="28" spans="1:18" x14ac:dyDescent="0.3">
      <c r="A28">
        <v>2.4</v>
      </c>
      <c r="B28">
        <f t="shared" si="4"/>
        <v>89.137803999999917</v>
      </c>
      <c r="C28">
        <f t="shared" si="2"/>
        <v>1782.7560799999985</v>
      </c>
      <c r="D28">
        <f>MATCH(B28,Battery!B:B,-1)</f>
        <v>10</v>
      </c>
      <c r="E28" cm="1">
        <f t="array" ref="E28">INDEX(Battery!C:C,D28+1)+(INDEX(Battery!C:C,D28)-INDEX(Battery!C:C,D28+1))/(INDEX(Battery!B:B,D28)-INDEX(Battery!C:C,B28+1))*(B28-INDEX(Battery!C:C,B28+1))</f>
        <v>4.041450803121827</v>
      </c>
      <c r="F28">
        <f t="shared" si="0"/>
        <v>3.7549999999999999</v>
      </c>
      <c r="G28">
        <f>MATCH(F28,Load!C$3:C$15,1)</f>
        <v>7</v>
      </c>
      <c r="H28">
        <f t="shared" si="3"/>
        <v>90.518299999999996</v>
      </c>
      <c r="I28">
        <f t="shared" si="1"/>
        <v>9.0518300000000078</v>
      </c>
    </row>
    <row r="29" spans="1:18" x14ac:dyDescent="0.3">
      <c r="A29">
        <v>2.5</v>
      </c>
      <c r="B29">
        <f>C29/C$4*100</f>
        <v>88.685212499999921</v>
      </c>
      <c r="C29">
        <f t="shared" si="2"/>
        <v>1773.7042499999984</v>
      </c>
      <c r="D29">
        <f>MATCH(B29,Battery!B:B,-1)</f>
        <v>10</v>
      </c>
      <c r="E29" cm="1">
        <f t="array" ref="E29">INDEX(Battery!C:C,D29+1)+(INDEX(Battery!C:C,D29)-INDEX(Battery!C:C,D29+1))/(INDEX(Battery!B:B,D29)-INDEX(Battery!C:C,B29+1))*(B29-INDEX(Battery!C:C,B29+1))</f>
        <v>4.0412948013656047</v>
      </c>
      <c r="F29">
        <f t="shared" si="0"/>
        <v>3.7549999999999999</v>
      </c>
      <c r="G29">
        <f>MATCH(F29,Load!C$3:C$15,1)</f>
        <v>7</v>
      </c>
      <c r="H29">
        <f t="shared" si="3"/>
        <v>90.518299999999996</v>
      </c>
      <c r="I29">
        <f t="shared" si="1"/>
        <v>9.0518300000000078</v>
      </c>
    </row>
    <row r="30" spans="1:18" x14ac:dyDescent="0.3">
      <c r="A30">
        <v>2.6</v>
      </c>
      <c r="B30">
        <f t="shared" si="4"/>
        <v>88.232620999999909</v>
      </c>
      <c r="C30">
        <f t="shared" si="2"/>
        <v>1764.6524199999983</v>
      </c>
      <c r="D30">
        <f>MATCH(B30,Battery!B:B,-1)</f>
        <v>10</v>
      </c>
      <c r="E30" cm="1">
        <f t="array" ref="E30">INDEX(Battery!C:C,D30+1)+(INDEX(Battery!C:C,D30)-INDEX(Battery!C:C,D30+1))/(INDEX(Battery!B:B,D30)-INDEX(Battery!C:C,B30+1))*(B30-INDEX(Battery!C:C,B30+1))</f>
        <v>4.0411387996093824</v>
      </c>
      <c r="F30">
        <f t="shared" si="0"/>
        <v>3.7549999999999999</v>
      </c>
      <c r="G30">
        <f>MATCH(F30,Load!C$3:C$15,1)</f>
        <v>7</v>
      </c>
      <c r="H30">
        <f t="shared" si="3"/>
        <v>90.518299999999996</v>
      </c>
      <c r="I30">
        <f t="shared" si="1"/>
        <v>9.0518300000000078</v>
      </c>
    </row>
    <row r="31" spans="1:18" x14ac:dyDescent="0.3">
      <c r="A31">
        <v>2.7</v>
      </c>
      <c r="B31">
        <f t="shared" si="4"/>
        <v>87.780029499999912</v>
      </c>
      <c r="C31">
        <f t="shared" si="2"/>
        <v>1755.6005899999982</v>
      </c>
      <c r="D31">
        <f>MATCH(B31,Battery!B:B,-1)</f>
        <v>10</v>
      </c>
      <c r="E31" cm="1">
        <f t="array" ref="E31">INDEX(Battery!C:C,D31+1)+(INDEX(Battery!C:C,D31)-INDEX(Battery!C:C,D31+1))/(INDEX(Battery!B:B,D31)-INDEX(Battery!C:C,B31+1))*(B31-INDEX(Battery!C:C,B31+1))</f>
        <v>4.0409827978531592</v>
      </c>
      <c r="F31">
        <f t="shared" si="0"/>
        <v>3.7549999999999999</v>
      </c>
      <c r="G31">
        <f>MATCH(F31,Load!C$3:C$15,1)</f>
        <v>7</v>
      </c>
      <c r="H31">
        <f t="shared" si="3"/>
        <v>90.518299999999996</v>
      </c>
      <c r="I31">
        <f t="shared" si="1"/>
        <v>9.051829999999967</v>
      </c>
    </row>
    <row r="32" spans="1:18" x14ac:dyDescent="0.3">
      <c r="A32">
        <v>2.8</v>
      </c>
      <c r="B32">
        <f t="shared" si="4"/>
        <v>87.327437999999916</v>
      </c>
      <c r="C32">
        <f t="shared" si="2"/>
        <v>1746.5487599999983</v>
      </c>
      <c r="D32">
        <f>MATCH(B32,Battery!B:B,-1)</f>
        <v>11</v>
      </c>
      <c r="E32" cm="1">
        <f t="array" ref="E32">INDEX(Battery!C:C,D32+1)+(INDEX(Battery!C:C,D32)-INDEX(Battery!C:C,D32+1))/(INDEX(Battery!B:B,D32)-INDEX(Battery!C:C,B32+1))*(B32-INDEX(Battery!C:C,B32+1))</f>
        <v>4.0107188673409269</v>
      </c>
      <c r="F32">
        <f t="shared" si="0"/>
        <v>3.7549999999999999</v>
      </c>
      <c r="G32">
        <f>MATCH(F32,Load!C$3:C$15,1)</f>
        <v>7</v>
      </c>
      <c r="H32">
        <f t="shared" si="3"/>
        <v>90.518299999999996</v>
      </c>
      <c r="I32">
        <f t="shared" si="1"/>
        <v>9.0518300000000078</v>
      </c>
    </row>
    <row r="33" spans="1:9" x14ac:dyDescent="0.3">
      <c r="A33">
        <v>2.9</v>
      </c>
      <c r="B33">
        <f t="shared" si="4"/>
        <v>86.874846499999919</v>
      </c>
      <c r="C33">
        <f t="shared" si="2"/>
        <v>1737.4969299999982</v>
      </c>
      <c r="D33">
        <f>MATCH(B33,Battery!B:B,-1)</f>
        <v>11</v>
      </c>
      <c r="E33" cm="1">
        <f t="array" ref="E33">INDEX(Battery!C:C,D33+1)+(INDEX(Battery!C:C,D33)-INDEX(Battery!C:C,D33+1))/(INDEX(Battery!B:B,D33)-INDEX(Battery!C:C,B33+1))*(B33-INDEX(Battery!C:C,B33+1))</f>
        <v>4.0105324443498889</v>
      </c>
      <c r="F33">
        <f t="shared" si="0"/>
        <v>3.7549999999999999</v>
      </c>
      <c r="G33">
        <f>MATCH(F33,Load!C$3:C$15,1)</f>
        <v>7</v>
      </c>
      <c r="H33">
        <f t="shared" si="3"/>
        <v>90.518299999999996</v>
      </c>
      <c r="I33">
        <f t="shared" si="1"/>
        <v>9.0518300000000078</v>
      </c>
    </row>
    <row r="34" spans="1:9" x14ac:dyDescent="0.3">
      <c r="A34">
        <v>3</v>
      </c>
      <c r="B34">
        <f t="shared" si="4"/>
        <v>86.422254999999907</v>
      </c>
      <c r="C34">
        <f t="shared" si="2"/>
        <v>1728.4450999999981</v>
      </c>
      <c r="D34">
        <f>MATCH(B34,Battery!B:B,-1)</f>
        <v>11</v>
      </c>
      <c r="E34" cm="1">
        <f t="array" ref="E34">INDEX(Battery!C:C,D34+1)+(INDEX(Battery!C:C,D34)-INDEX(Battery!C:C,D34+1))/(INDEX(Battery!B:B,D34)-INDEX(Battery!C:C,B34+1))*(B34-INDEX(Battery!C:C,B34+1))</f>
        <v>4.0103460213588509</v>
      </c>
      <c r="F34">
        <f t="shared" si="0"/>
        <v>3.7549999999999999</v>
      </c>
      <c r="G34">
        <f>MATCH(F34,Load!C$3:C$15,1)</f>
        <v>7</v>
      </c>
      <c r="H34">
        <f t="shared" si="3"/>
        <v>90.518299999999996</v>
      </c>
      <c r="I34">
        <f t="shared" si="1"/>
        <v>9.0518300000000078</v>
      </c>
    </row>
    <row r="35" spans="1:9" x14ac:dyDescent="0.3">
      <c r="A35">
        <v>3.1</v>
      </c>
      <c r="B35">
        <f>C35/C$4*100</f>
        <v>85.969663499999911</v>
      </c>
      <c r="C35">
        <f t="shared" si="2"/>
        <v>1719.393269999998</v>
      </c>
      <c r="D35">
        <f>MATCH(B35,Battery!B:B,-1)</f>
        <v>11</v>
      </c>
      <c r="E35" cm="1">
        <f t="array" ref="E35">INDEX(Battery!C:C,D35+1)+(INDEX(Battery!C:C,D35)-INDEX(Battery!C:C,D35+1))/(INDEX(Battery!B:B,D35)-INDEX(Battery!C:C,B35+1))*(B35-INDEX(Battery!C:C,B35+1))</f>
        <v>4.0101595983678138</v>
      </c>
      <c r="F35">
        <f t="shared" si="0"/>
        <v>3.7549999999999999</v>
      </c>
      <c r="G35">
        <f>MATCH(F35,Load!C$3:C$15,1)</f>
        <v>7</v>
      </c>
      <c r="H35">
        <f t="shared" si="3"/>
        <v>90.518299999999996</v>
      </c>
      <c r="I35">
        <f t="shared" si="1"/>
        <v>9.0518300000000078</v>
      </c>
    </row>
    <row r="36" spans="1:9" x14ac:dyDescent="0.3">
      <c r="A36">
        <v>3.2</v>
      </c>
      <c r="B36">
        <f t="shared" si="4"/>
        <v>85.517071999999899</v>
      </c>
      <c r="C36">
        <f t="shared" si="2"/>
        <v>1710.3414399999979</v>
      </c>
      <c r="D36">
        <f>MATCH(B36,Battery!B:B,-1)</f>
        <v>11</v>
      </c>
      <c r="E36" cm="1">
        <f t="array" ref="E36">INDEX(Battery!C:C,D36+1)+(INDEX(Battery!C:C,D36)-INDEX(Battery!C:C,D36+1))/(INDEX(Battery!B:B,D36)-INDEX(Battery!C:C,B36+1))*(B36-INDEX(Battery!C:C,B36+1))</f>
        <v>4.0099731753767758</v>
      </c>
      <c r="F36">
        <f t="shared" si="0"/>
        <v>3.7549999999999999</v>
      </c>
      <c r="G36">
        <f>MATCH(F36,Load!C$3:C$15,1)</f>
        <v>7</v>
      </c>
      <c r="H36">
        <f t="shared" si="3"/>
        <v>90.518299999999996</v>
      </c>
      <c r="I36">
        <f t="shared" ref="I36:I67" si="5">H36*(A37-A36)</f>
        <v>9.051829999999967</v>
      </c>
    </row>
    <row r="37" spans="1:9" x14ac:dyDescent="0.3">
      <c r="A37">
        <v>3.3</v>
      </c>
      <c r="B37">
        <f t="shared" si="4"/>
        <v>85.064480499999888</v>
      </c>
      <c r="C37">
        <f t="shared" ref="C37:C68" si="6">C36-I36</f>
        <v>1701.289609999998</v>
      </c>
      <c r="D37">
        <f>MATCH(B37,Battery!B:B,-1)</f>
        <v>11</v>
      </c>
      <c r="E37" cm="1">
        <f t="array" ref="E37">INDEX(Battery!C:C,D37+1)+(INDEX(Battery!C:C,D37)-INDEX(Battery!C:C,D37+1))/(INDEX(Battery!B:B,D37)-INDEX(Battery!C:C,B37+1))*(B37-INDEX(Battery!C:C,B37+1))</f>
        <v>4.0097867523857378</v>
      </c>
      <c r="F37">
        <f t="shared" si="0"/>
        <v>3.7549999999999999</v>
      </c>
      <c r="G37">
        <f>MATCH(F37,Load!C$3:C$15,1)</f>
        <v>7</v>
      </c>
      <c r="H37">
        <f t="shared" si="3"/>
        <v>90.518299999999996</v>
      </c>
      <c r="I37">
        <f t="shared" si="5"/>
        <v>9.0518300000000078</v>
      </c>
    </row>
    <row r="38" spans="1:9" x14ac:dyDescent="0.3">
      <c r="A38">
        <v>3.4</v>
      </c>
      <c r="B38">
        <f t="shared" si="4"/>
        <v>84.611888999999891</v>
      </c>
      <c r="C38">
        <f t="shared" si="6"/>
        <v>1692.2377799999979</v>
      </c>
      <c r="D38">
        <f>MATCH(B38,Battery!B:B,-1)</f>
        <v>11</v>
      </c>
      <c r="E38" cm="1">
        <f t="array" ref="E38">INDEX(Battery!C:C,D38+1)+(INDEX(Battery!C:C,D38)-INDEX(Battery!C:C,D38+1))/(INDEX(Battery!B:B,D38)-INDEX(Battery!C:C,B38+1))*(B38-INDEX(Battery!C:C,B38+1))</f>
        <v>4.0096003293946998</v>
      </c>
      <c r="F38">
        <f t="shared" si="0"/>
        <v>3.7549999999999999</v>
      </c>
      <c r="G38">
        <f>MATCH(F38,Load!C$3:C$15,1)</f>
        <v>7</v>
      </c>
      <c r="H38">
        <f t="shared" si="3"/>
        <v>90.518299999999996</v>
      </c>
      <c r="I38">
        <f t="shared" si="5"/>
        <v>9.0518300000000078</v>
      </c>
    </row>
    <row r="39" spans="1:9" x14ac:dyDescent="0.3">
      <c r="A39">
        <v>3.5</v>
      </c>
      <c r="B39">
        <f t="shared" si="4"/>
        <v>84.15929749999988</v>
      </c>
      <c r="C39">
        <f t="shared" si="6"/>
        <v>1683.1859499999978</v>
      </c>
      <c r="D39">
        <f>MATCH(B39,Battery!B:B,-1)</f>
        <v>11</v>
      </c>
      <c r="E39" cm="1">
        <f t="array" ref="E39">INDEX(Battery!C:C,D39+1)+(INDEX(Battery!C:C,D39)-INDEX(Battery!C:C,D39+1))/(INDEX(Battery!B:B,D39)-INDEX(Battery!C:C,B39+1))*(B39-INDEX(Battery!C:C,B39+1))</f>
        <v>4.0094139064036618</v>
      </c>
      <c r="F39">
        <f t="shared" si="0"/>
        <v>3.7549999999999999</v>
      </c>
      <c r="G39">
        <f>MATCH(F39,Load!C$3:C$15,1)</f>
        <v>7</v>
      </c>
      <c r="H39">
        <f t="shared" si="3"/>
        <v>90.518299999999996</v>
      </c>
      <c r="I39">
        <f t="shared" si="5"/>
        <v>9.0518300000000078</v>
      </c>
    </row>
    <row r="40" spans="1:9" x14ac:dyDescent="0.3">
      <c r="A40">
        <v>3.6</v>
      </c>
      <c r="B40">
        <f t="shared" si="4"/>
        <v>83.706705999999883</v>
      </c>
      <c r="C40">
        <f t="shared" si="6"/>
        <v>1674.1341199999977</v>
      </c>
      <c r="D40">
        <f>MATCH(B40,Battery!B:B,-1)</f>
        <v>12</v>
      </c>
      <c r="E40" cm="1">
        <f t="array" ref="E40">INDEX(Battery!C:C,D40+1)+(INDEX(Battery!C:C,D40)-INDEX(Battery!C:C,D40+1))/(INDEX(Battery!B:B,D40)-INDEX(Battery!C:C,B40+1))*(B40-INDEX(Battery!C:C,B40+1))</f>
        <v>3.9747476973099141</v>
      </c>
      <c r="F40">
        <f t="shared" si="0"/>
        <v>3.7549999999999999</v>
      </c>
      <c r="G40">
        <f>MATCH(F40,Load!C$3:C$15,1)</f>
        <v>7</v>
      </c>
      <c r="H40">
        <f t="shared" si="3"/>
        <v>90.518299999999996</v>
      </c>
      <c r="I40">
        <f t="shared" si="5"/>
        <v>9.0518300000000078</v>
      </c>
    </row>
    <row r="41" spans="1:9" x14ac:dyDescent="0.3">
      <c r="A41">
        <v>3.7</v>
      </c>
      <c r="B41">
        <f t="shared" si="4"/>
        <v>83.254114499999872</v>
      </c>
      <c r="C41">
        <f t="shared" si="6"/>
        <v>1665.0822899999976</v>
      </c>
      <c r="D41">
        <f>MATCH(B41,Battery!B:B,-1)</f>
        <v>12</v>
      </c>
      <c r="E41" cm="1">
        <f t="array" ref="E41">INDEX(Battery!C:C,D41+1)+(INDEX(Battery!C:C,D41)-INDEX(Battery!C:C,D41+1))/(INDEX(Battery!B:B,D41)-INDEX(Battery!C:C,B41+1))*(B41-INDEX(Battery!C:C,B41+1))</f>
        <v>3.9745785485808045</v>
      </c>
      <c r="F41">
        <f t="shared" si="0"/>
        <v>3.7549999999999999</v>
      </c>
      <c r="G41">
        <f>MATCH(F41,Load!C$3:C$15,1)</f>
        <v>7</v>
      </c>
      <c r="H41">
        <f t="shared" si="3"/>
        <v>90.518299999999996</v>
      </c>
      <c r="I41">
        <f t="shared" si="5"/>
        <v>9.051829999999967</v>
      </c>
    </row>
    <row r="42" spans="1:9" x14ac:dyDescent="0.3">
      <c r="A42">
        <v>3.8</v>
      </c>
      <c r="B42">
        <f t="shared" si="4"/>
        <v>82.801522999999889</v>
      </c>
      <c r="C42">
        <f t="shared" si="6"/>
        <v>1656.0304599999977</v>
      </c>
      <c r="D42">
        <f>MATCH(B42,Battery!B:B,-1)</f>
        <v>12</v>
      </c>
      <c r="E42" cm="1">
        <f t="array" ref="E42">INDEX(Battery!C:C,D42+1)+(INDEX(Battery!C:C,D42)-INDEX(Battery!C:C,D42+1))/(INDEX(Battery!B:B,D42)-INDEX(Battery!C:C,B42+1))*(B42-INDEX(Battery!C:C,B42+1))</f>
        <v>3.9744093998516945</v>
      </c>
      <c r="F42">
        <f t="shared" si="0"/>
        <v>3.7549999999999999</v>
      </c>
      <c r="G42">
        <f>MATCH(F42,Load!C$3:C$15,1)</f>
        <v>7</v>
      </c>
      <c r="H42">
        <f t="shared" si="3"/>
        <v>90.518299999999996</v>
      </c>
      <c r="I42">
        <f t="shared" si="5"/>
        <v>9.0518300000000078</v>
      </c>
    </row>
    <row r="43" spans="1:9" x14ac:dyDescent="0.3">
      <c r="A43">
        <v>3.9</v>
      </c>
      <c r="B43">
        <f t="shared" si="4"/>
        <v>82.348931499999878</v>
      </c>
      <c r="C43">
        <f t="shared" si="6"/>
        <v>1646.9786299999976</v>
      </c>
      <c r="D43">
        <f>MATCH(B43,Battery!B:B,-1)</f>
        <v>12</v>
      </c>
      <c r="E43" cm="1">
        <f t="array" ref="E43">INDEX(Battery!C:C,D43+1)+(INDEX(Battery!C:C,D43)-INDEX(Battery!C:C,D43+1))/(INDEX(Battery!B:B,D43)-INDEX(Battery!C:C,B43+1))*(B43-INDEX(Battery!C:C,B43+1))</f>
        <v>3.9742402511225845</v>
      </c>
      <c r="F43">
        <f t="shared" si="0"/>
        <v>3.7549999999999999</v>
      </c>
      <c r="G43">
        <f>MATCH(F43,Load!C$3:C$15,1)</f>
        <v>7</v>
      </c>
      <c r="H43">
        <f t="shared" si="3"/>
        <v>90.518299999999996</v>
      </c>
      <c r="I43">
        <f t="shared" si="5"/>
        <v>9.0518300000000078</v>
      </c>
    </row>
    <row r="44" spans="1:9" x14ac:dyDescent="0.3">
      <c r="A44">
        <v>4</v>
      </c>
      <c r="B44">
        <f t="shared" si="4"/>
        <v>81.896339999999867</v>
      </c>
      <c r="C44">
        <f t="shared" si="6"/>
        <v>1637.9267999999975</v>
      </c>
      <c r="D44">
        <f>MATCH(B44,Battery!B:B,-1)</f>
        <v>12</v>
      </c>
      <c r="E44" cm="1">
        <f t="array" ref="E44">INDEX(Battery!C:C,D44+1)+(INDEX(Battery!C:C,D44)-INDEX(Battery!C:C,D44+1))/(INDEX(Battery!B:B,D44)-INDEX(Battery!C:C,B44+1))*(B44-INDEX(Battery!C:C,B44+1))</f>
        <v>3.9740711023934745</v>
      </c>
      <c r="F44">
        <f t="shared" si="0"/>
        <v>3.7549999999999999</v>
      </c>
      <c r="G44">
        <f>MATCH(F44,Load!C$3:C$15,1)</f>
        <v>7</v>
      </c>
      <c r="H44">
        <f t="shared" si="3"/>
        <v>90.518299999999996</v>
      </c>
      <c r="I44">
        <f t="shared" si="5"/>
        <v>9.051829999999967</v>
      </c>
    </row>
    <row r="45" spans="1:9" x14ac:dyDescent="0.3">
      <c r="A45">
        <v>4.0999999999999996</v>
      </c>
      <c r="B45">
        <f t="shared" si="4"/>
        <v>81.443748499999884</v>
      </c>
      <c r="C45">
        <f t="shared" si="6"/>
        <v>1628.8749699999976</v>
      </c>
      <c r="D45">
        <f>MATCH(B45,Battery!B:B,-1)</f>
        <v>12</v>
      </c>
      <c r="E45" cm="1">
        <f t="array" ref="E45">INDEX(Battery!C:C,D45+1)+(INDEX(Battery!C:C,D45)-INDEX(Battery!C:C,D45+1))/(INDEX(Battery!B:B,D45)-INDEX(Battery!C:C,B45+1))*(B45-INDEX(Battery!C:C,B45+1))</f>
        <v>3.9739019536643645</v>
      </c>
      <c r="F45">
        <f t="shared" si="0"/>
        <v>3.7549999999999999</v>
      </c>
      <c r="G45">
        <f>MATCH(F45,Load!C$3:C$15,1)</f>
        <v>7</v>
      </c>
      <c r="H45">
        <f t="shared" si="3"/>
        <v>90.518299999999996</v>
      </c>
      <c r="I45">
        <f t="shared" si="5"/>
        <v>9.0518300000000487</v>
      </c>
    </row>
    <row r="46" spans="1:9" x14ac:dyDescent="0.3">
      <c r="A46">
        <v>4.2</v>
      </c>
      <c r="B46">
        <f t="shared" si="4"/>
        <v>80.991156999999873</v>
      </c>
      <c r="C46">
        <f t="shared" si="6"/>
        <v>1619.8231399999975</v>
      </c>
      <c r="D46">
        <f>MATCH(B46,Battery!B:B,-1)</f>
        <v>12</v>
      </c>
      <c r="E46" cm="1">
        <f t="array" ref="E46">INDEX(Battery!C:C,D46+1)+(INDEX(Battery!C:C,D46)-INDEX(Battery!C:C,D46+1))/(INDEX(Battery!B:B,D46)-INDEX(Battery!C:C,B46+1))*(B46-INDEX(Battery!C:C,B46+1))</f>
        <v>3.9737328049352545</v>
      </c>
      <c r="F46">
        <f t="shared" si="0"/>
        <v>3.7549999999999999</v>
      </c>
      <c r="G46">
        <f>MATCH(F46,Load!C$3:C$15,1)</f>
        <v>7</v>
      </c>
      <c r="H46">
        <f t="shared" si="3"/>
        <v>90.518299999999996</v>
      </c>
      <c r="I46">
        <f t="shared" si="5"/>
        <v>9.051829999999967</v>
      </c>
    </row>
    <row r="47" spans="1:9" x14ac:dyDescent="0.3">
      <c r="A47">
        <v>4.3</v>
      </c>
      <c r="B47">
        <f t="shared" si="4"/>
        <v>80.538565499999876</v>
      </c>
      <c r="C47">
        <f t="shared" si="6"/>
        <v>1610.7713099999976</v>
      </c>
      <c r="D47">
        <f>MATCH(B47,Battery!B:B,-1)</f>
        <v>12</v>
      </c>
      <c r="E47" cm="1">
        <f t="array" ref="E47">INDEX(Battery!C:C,D47+1)+(INDEX(Battery!C:C,D47)-INDEX(Battery!C:C,D47+1))/(INDEX(Battery!B:B,D47)-INDEX(Battery!C:C,B47+1))*(B47-INDEX(Battery!C:C,B47+1))</f>
        <v>3.9735636562061449</v>
      </c>
      <c r="F47">
        <f t="shared" si="0"/>
        <v>3.7549999999999999</v>
      </c>
      <c r="G47">
        <f>MATCH(F47,Load!C$3:C$15,1)</f>
        <v>7</v>
      </c>
      <c r="H47">
        <f t="shared" si="3"/>
        <v>90.518299999999996</v>
      </c>
      <c r="I47">
        <f t="shared" si="5"/>
        <v>9.0518300000000487</v>
      </c>
    </row>
    <row r="48" spans="1:9" x14ac:dyDescent="0.3">
      <c r="A48">
        <v>4.4000000000000004</v>
      </c>
      <c r="B48">
        <f t="shared" si="4"/>
        <v>80.085973999999865</v>
      </c>
      <c r="C48">
        <f t="shared" si="6"/>
        <v>1601.7194799999975</v>
      </c>
      <c r="D48">
        <f>MATCH(B48,Battery!B:B,-1)</f>
        <v>12</v>
      </c>
      <c r="E48" cm="1">
        <f t="array" ref="E48">INDEX(Battery!C:C,D48+1)+(INDEX(Battery!C:C,D48)-INDEX(Battery!C:C,D48+1))/(INDEX(Battery!B:B,D48)-INDEX(Battery!C:C,B48+1))*(B48-INDEX(Battery!C:C,B48+1))</f>
        <v>3.9733945074770349</v>
      </c>
      <c r="F48">
        <f t="shared" si="0"/>
        <v>3.7549999999999999</v>
      </c>
      <c r="G48">
        <f>MATCH(F48,Load!C$3:C$15,1)</f>
        <v>7</v>
      </c>
      <c r="H48">
        <f t="shared" si="3"/>
        <v>90.518299999999996</v>
      </c>
      <c r="I48">
        <f t="shared" si="5"/>
        <v>9.051829999999967</v>
      </c>
    </row>
    <row r="49" spans="1:9" x14ac:dyDescent="0.3">
      <c r="A49">
        <v>4.5</v>
      </c>
      <c r="B49">
        <f t="shared" si="4"/>
        <v>79.633382499999882</v>
      </c>
      <c r="C49">
        <f t="shared" si="6"/>
        <v>1592.6676499999976</v>
      </c>
      <c r="D49">
        <f>MATCH(B49,Battery!B:B,-1)</f>
        <v>13</v>
      </c>
      <c r="E49" cm="1">
        <f t="array" ref="E49">INDEX(Battery!C:C,D49+1)+(INDEX(Battery!C:C,D49)-INDEX(Battery!C:C,D49+1))/(INDEX(Battery!B:B,D49)-INDEX(Battery!C:C,B49+1))*(B49-INDEX(Battery!C:C,B49+1))</f>
        <v>3.9433203055465054</v>
      </c>
      <c r="F49">
        <f t="shared" si="0"/>
        <v>3.7549999999999999</v>
      </c>
      <c r="G49">
        <f>MATCH(F49,Load!C$3:C$15,1)</f>
        <v>7</v>
      </c>
      <c r="H49">
        <f t="shared" si="3"/>
        <v>90.518299999999996</v>
      </c>
      <c r="I49">
        <f t="shared" si="5"/>
        <v>9.051829999999967</v>
      </c>
    </row>
    <row r="50" spans="1:9" x14ac:dyDescent="0.3">
      <c r="A50">
        <v>4.5999999999999996</v>
      </c>
      <c r="B50">
        <f t="shared" si="4"/>
        <v>79.180790999999886</v>
      </c>
      <c r="C50">
        <f t="shared" si="6"/>
        <v>1583.6158199999977</v>
      </c>
      <c r="D50">
        <f>MATCH(B50,Battery!B:B,-1)</f>
        <v>13</v>
      </c>
      <c r="E50" cm="1">
        <f t="array" ref="E50">INDEX(Battery!C:C,D50+1)+(INDEX(Battery!C:C,D50)-INDEX(Battery!C:C,D50+1))/(INDEX(Battery!B:B,D50)-INDEX(Battery!C:C,B50+1))*(B50-INDEX(Battery!C:C,B50+1))</f>
        <v>3.9431433144572985</v>
      </c>
      <c r="F50">
        <f t="shared" si="0"/>
        <v>3.7549999999999999</v>
      </c>
      <c r="G50">
        <f>MATCH(F50,Load!C$3:C$15,1)</f>
        <v>7</v>
      </c>
      <c r="H50">
        <f t="shared" si="3"/>
        <v>90.518299999999996</v>
      </c>
      <c r="I50">
        <f t="shared" si="5"/>
        <v>9.0518300000000487</v>
      </c>
    </row>
    <row r="51" spans="1:9" x14ac:dyDescent="0.3">
      <c r="A51">
        <v>4.7</v>
      </c>
      <c r="B51">
        <f t="shared" si="4"/>
        <v>78.728199499999889</v>
      </c>
      <c r="C51">
        <f t="shared" si="6"/>
        <v>1574.5639899999976</v>
      </c>
      <c r="D51">
        <f>MATCH(B51,Battery!B:B,-1)</f>
        <v>13</v>
      </c>
      <c r="E51" cm="1">
        <f t="array" ref="E51">INDEX(Battery!C:C,D51+1)+(INDEX(Battery!C:C,D51)-INDEX(Battery!C:C,D51+1))/(INDEX(Battery!B:B,D51)-INDEX(Battery!C:C,B51+1))*(B51-INDEX(Battery!C:C,B51+1))</f>
        <v>3.9429663233680912</v>
      </c>
      <c r="F51">
        <f t="shared" si="0"/>
        <v>3.7549999999999999</v>
      </c>
      <c r="G51">
        <f>MATCH(F51,Load!C$3:C$15,1)</f>
        <v>7</v>
      </c>
      <c r="H51">
        <f t="shared" si="3"/>
        <v>90.518299999999996</v>
      </c>
      <c r="I51">
        <f t="shared" si="5"/>
        <v>9.051829999999967</v>
      </c>
    </row>
    <row r="52" spans="1:9" x14ac:dyDescent="0.3">
      <c r="A52">
        <v>4.8</v>
      </c>
      <c r="B52">
        <f t="shared" si="4"/>
        <v>78.275607999999892</v>
      </c>
      <c r="C52">
        <f t="shared" si="6"/>
        <v>1565.5121599999977</v>
      </c>
      <c r="D52">
        <f>MATCH(B52,Battery!B:B,-1)</f>
        <v>13</v>
      </c>
      <c r="E52" cm="1">
        <f t="array" ref="E52">INDEX(Battery!C:C,D52+1)+(INDEX(Battery!C:C,D52)-INDEX(Battery!C:C,D52+1))/(INDEX(Battery!B:B,D52)-INDEX(Battery!C:C,B52+1))*(B52-INDEX(Battery!C:C,B52+1))</f>
        <v>3.9427893322788838</v>
      </c>
      <c r="F52">
        <f t="shared" si="0"/>
        <v>3.7549999999999999</v>
      </c>
      <c r="G52">
        <f>MATCH(F52,Load!C$3:C$15,1)</f>
        <v>7</v>
      </c>
      <c r="H52">
        <f t="shared" si="3"/>
        <v>90.518299999999996</v>
      </c>
      <c r="I52">
        <f t="shared" si="5"/>
        <v>9.0518300000000487</v>
      </c>
    </row>
    <row r="53" spans="1:9" x14ac:dyDescent="0.3">
      <c r="A53">
        <v>4.9000000000000004</v>
      </c>
      <c r="B53">
        <f t="shared" si="4"/>
        <v>77.823016499999881</v>
      </c>
      <c r="C53">
        <f t="shared" si="6"/>
        <v>1556.4603299999976</v>
      </c>
      <c r="D53">
        <f>MATCH(B53,Battery!B:B,-1)</f>
        <v>13</v>
      </c>
      <c r="E53" cm="1">
        <f t="array" ref="E53">INDEX(Battery!C:C,D53+1)+(INDEX(Battery!C:C,D53)-INDEX(Battery!C:C,D53+1))/(INDEX(Battery!B:B,D53)-INDEX(Battery!C:C,B53+1))*(B53-INDEX(Battery!C:C,B53+1))</f>
        <v>3.942612341189677</v>
      </c>
      <c r="F53">
        <f t="shared" si="0"/>
        <v>3.7549999999999999</v>
      </c>
      <c r="G53">
        <f>MATCH(F53,Load!C$3:C$15,1)</f>
        <v>7</v>
      </c>
      <c r="H53">
        <f t="shared" si="3"/>
        <v>90.518299999999996</v>
      </c>
      <c r="I53">
        <f t="shared" si="5"/>
        <v>9.051829999999967</v>
      </c>
    </row>
    <row r="54" spans="1:9" x14ac:dyDescent="0.3">
      <c r="A54">
        <v>5</v>
      </c>
      <c r="B54">
        <f t="shared" si="4"/>
        <v>77.370424999999884</v>
      </c>
      <c r="C54">
        <f t="shared" si="6"/>
        <v>1547.4084999999977</v>
      </c>
      <c r="D54">
        <f>MATCH(B54,Battery!B:B,-1)</f>
        <v>13</v>
      </c>
      <c r="E54" cm="1">
        <f t="array" ref="E54">INDEX(Battery!C:C,D54+1)+(INDEX(Battery!C:C,D54)-INDEX(Battery!C:C,D54+1))/(INDEX(Battery!B:B,D54)-INDEX(Battery!C:C,B54+1))*(B54-INDEX(Battery!C:C,B54+1))</f>
        <v>3.9424353501004696</v>
      </c>
      <c r="F54">
        <f t="shared" si="0"/>
        <v>3.7549999999999999</v>
      </c>
      <c r="G54">
        <f>MATCH(F54,Load!C$3:C$15,1)</f>
        <v>7</v>
      </c>
      <c r="H54">
        <f t="shared" si="3"/>
        <v>90.518299999999996</v>
      </c>
      <c r="I54">
        <f t="shared" si="5"/>
        <v>9.051829999999967</v>
      </c>
    </row>
    <row r="55" spans="1:9" x14ac:dyDescent="0.3">
      <c r="A55">
        <v>5.0999999999999996</v>
      </c>
      <c r="B55">
        <f t="shared" si="4"/>
        <v>76.917833499999887</v>
      </c>
      <c r="C55">
        <f t="shared" si="6"/>
        <v>1538.3566699999978</v>
      </c>
      <c r="D55">
        <f>MATCH(B55,Battery!B:B,-1)</f>
        <v>13</v>
      </c>
      <c r="E55" cm="1">
        <f t="array" ref="E55">INDEX(Battery!C:C,D55+1)+(INDEX(Battery!C:C,D55)-INDEX(Battery!C:C,D55+1))/(INDEX(Battery!B:B,D55)-INDEX(Battery!C:C,B55+1))*(B55-INDEX(Battery!C:C,B55+1))</f>
        <v>3.9422583590112628</v>
      </c>
      <c r="F55">
        <f t="shared" si="0"/>
        <v>3.7549999999999999</v>
      </c>
      <c r="G55">
        <f>MATCH(F55,Load!C$3:C$15,1)</f>
        <v>7</v>
      </c>
      <c r="H55">
        <f t="shared" si="3"/>
        <v>90.518299999999996</v>
      </c>
      <c r="I55">
        <f t="shared" si="5"/>
        <v>9.0518300000000487</v>
      </c>
    </row>
    <row r="56" spans="1:9" x14ac:dyDescent="0.3">
      <c r="A56">
        <v>5.2</v>
      </c>
      <c r="B56">
        <f t="shared" si="4"/>
        <v>76.46524199999989</v>
      </c>
      <c r="C56">
        <f t="shared" si="6"/>
        <v>1529.3048399999977</v>
      </c>
      <c r="D56">
        <f>MATCH(B56,Battery!B:B,-1)</f>
        <v>13</v>
      </c>
      <c r="E56" cm="1">
        <f t="array" ref="E56">INDEX(Battery!C:C,D56+1)+(INDEX(Battery!C:C,D56)-INDEX(Battery!C:C,D56+1))/(INDEX(Battery!B:B,D56)-INDEX(Battery!C:C,B56+1))*(B56-INDEX(Battery!C:C,B56+1))</f>
        <v>3.9420813679220554</v>
      </c>
      <c r="F56">
        <f t="shared" si="0"/>
        <v>3.7549999999999999</v>
      </c>
      <c r="G56">
        <f>MATCH(F56,Load!C$3:C$15,1)</f>
        <v>7</v>
      </c>
      <c r="H56">
        <f t="shared" si="3"/>
        <v>90.518299999999996</v>
      </c>
      <c r="I56">
        <f t="shared" si="5"/>
        <v>9.051829999999967</v>
      </c>
    </row>
    <row r="57" spans="1:9" x14ac:dyDescent="0.3">
      <c r="A57">
        <v>5.3</v>
      </c>
      <c r="B57">
        <f t="shared" si="4"/>
        <v>76.012650499999893</v>
      </c>
      <c r="C57">
        <f t="shared" si="6"/>
        <v>1520.2530099999979</v>
      </c>
      <c r="D57">
        <f>MATCH(B57,Battery!B:B,-1)</f>
        <v>13</v>
      </c>
      <c r="E57" cm="1">
        <f t="array" ref="E57">INDEX(Battery!C:C,D57+1)+(INDEX(Battery!C:C,D57)-INDEX(Battery!C:C,D57+1))/(INDEX(Battery!B:B,D57)-INDEX(Battery!C:C,B57+1))*(B57-INDEX(Battery!C:C,B57+1))</f>
        <v>3.9419043768328481</v>
      </c>
      <c r="F57">
        <f t="shared" si="0"/>
        <v>3.7549999999999999</v>
      </c>
      <c r="G57">
        <f>MATCH(F57,Load!C$3:C$15,1)</f>
        <v>7</v>
      </c>
      <c r="H57">
        <f t="shared" si="3"/>
        <v>90.518299999999996</v>
      </c>
      <c r="I57">
        <f t="shared" si="5"/>
        <v>9.0518300000000487</v>
      </c>
    </row>
    <row r="58" spans="1:9" x14ac:dyDescent="0.3">
      <c r="A58">
        <v>5.4</v>
      </c>
      <c r="B58">
        <f t="shared" si="4"/>
        <v>75.560058999999896</v>
      </c>
      <c r="C58">
        <f t="shared" si="6"/>
        <v>1511.2011799999977</v>
      </c>
      <c r="D58">
        <f>MATCH(B58,Battery!B:B,-1)</f>
        <v>14</v>
      </c>
      <c r="E58" cm="1">
        <f t="array" ref="E58">INDEX(Battery!C:C,D58+1)+(INDEX(Battery!C:C,D58)-INDEX(Battery!C:C,D58+1))/(INDEX(Battery!B:B,D58)-INDEX(Battery!C:C,B58+1))*(B58-INDEX(Battery!C:C,B58+1))</f>
        <v>3.9121424654736194</v>
      </c>
      <c r="F58">
        <f t="shared" si="0"/>
        <v>3.7549999999999999</v>
      </c>
      <c r="G58">
        <f>MATCH(F58,Load!C$3:C$15,1)</f>
        <v>7</v>
      </c>
      <c r="H58">
        <f t="shared" si="3"/>
        <v>90.518299999999996</v>
      </c>
      <c r="I58">
        <f t="shared" si="5"/>
        <v>9.051829999999967</v>
      </c>
    </row>
    <row r="59" spans="1:9" x14ac:dyDescent="0.3">
      <c r="A59">
        <v>5.5</v>
      </c>
      <c r="B59">
        <f t="shared" si="4"/>
        <v>75.107467499999885</v>
      </c>
      <c r="C59">
        <f t="shared" si="6"/>
        <v>1502.1493499999979</v>
      </c>
      <c r="D59">
        <f>MATCH(B59,Battery!B:B,-1)</f>
        <v>14</v>
      </c>
      <c r="E59" cm="1">
        <f t="array" ref="E59">INDEX(Battery!C:C,D59+1)+(INDEX(Battery!C:C,D59)-INDEX(Battery!C:C,D59+1))/(INDEX(Battery!B:B,D59)-INDEX(Battery!C:C,B59+1))*(B59-INDEX(Battery!C:C,B59+1))</f>
        <v>3.9119271831135474</v>
      </c>
      <c r="F59">
        <f t="shared" si="0"/>
        <v>3.7549999999999999</v>
      </c>
      <c r="G59">
        <f>MATCH(F59,Load!C$3:C$15,1)</f>
        <v>7</v>
      </c>
      <c r="H59">
        <f t="shared" si="3"/>
        <v>90.518299999999996</v>
      </c>
      <c r="I59">
        <f t="shared" si="5"/>
        <v>9.051829999999967</v>
      </c>
    </row>
    <row r="60" spans="1:9" x14ac:dyDescent="0.3">
      <c r="A60">
        <v>5.6</v>
      </c>
      <c r="B60">
        <f t="shared" si="4"/>
        <v>74.654875999999902</v>
      </c>
      <c r="C60">
        <f t="shared" si="6"/>
        <v>1493.097519999998</v>
      </c>
      <c r="D60">
        <f>MATCH(B60,Battery!B:B,-1)</f>
        <v>14</v>
      </c>
      <c r="E60" cm="1">
        <f t="array" ref="E60">INDEX(Battery!C:C,D60+1)+(INDEX(Battery!C:C,D60)-INDEX(Battery!C:C,D60+1))/(INDEX(Battery!B:B,D60)-INDEX(Battery!C:C,B60+1))*(B60-INDEX(Battery!C:C,B60+1))</f>
        <v>3.9117119007534757</v>
      </c>
      <c r="F60">
        <f t="shared" si="0"/>
        <v>3.7549999999999999</v>
      </c>
      <c r="G60">
        <f>MATCH(F60,Load!C$3:C$15,1)</f>
        <v>7</v>
      </c>
      <c r="H60">
        <f t="shared" si="3"/>
        <v>90.518299999999996</v>
      </c>
      <c r="I60">
        <f t="shared" si="5"/>
        <v>9.0518300000000487</v>
      </c>
    </row>
    <row r="61" spans="1:9" x14ac:dyDescent="0.3">
      <c r="A61">
        <v>5.7</v>
      </c>
      <c r="B61">
        <f t="shared" si="4"/>
        <v>74.202284499999891</v>
      </c>
      <c r="C61">
        <f t="shared" si="6"/>
        <v>1484.0456899999979</v>
      </c>
      <c r="D61">
        <f>MATCH(B61,Battery!B:B,-1)</f>
        <v>14</v>
      </c>
      <c r="E61" cm="1">
        <f t="array" ref="E61">INDEX(Battery!C:C,D61+1)+(INDEX(Battery!C:C,D61)-INDEX(Battery!C:C,D61+1))/(INDEX(Battery!B:B,D61)-INDEX(Battery!C:C,B61+1))*(B61-INDEX(Battery!C:C,B61+1))</f>
        <v>3.9114966183934041</v>
      </c>
      <c r="F61">
        <f t="shared" si="0"/>
        <v>3.7549999999999999</v>
      </c>
      <c r="G61">
        <f>MATCH(F61,Load!C$3:C$15,1)</f>
        <v>7</v>
      </c>
      <c r="H61">
        <f t="shared" si="3"/>
        <v>90.518299999999996</v>
      </c>
      <c r="I61">
        <f t="shared" si="5"/>
        <v>9.051829999999967</v>
      </c>
    </row>
    <row r="62" spans="1:9" x14ac:dyDescent="0.3">
      <c r="A62">
        <v>5.8</v>
      </c>
      <c r="B62">
        <f t="shared" si="4"/>
        <v>73.749692999999908</v>
      </c>
      <c r="C62">
        <f t="shared" si="6"/>
        <v>1474.993859999998</v>
      </c>
      <c r="D62">
        <f>MATCH(B62,Battery!B:B,-1)</f>
        <v>14</v>
      </c>
      <c r="E62" cm="1">
        <f t="array" ref="E62">INDEX(Battery!C:C,D62+1)+(INDEX(Battery!C:C,D62)-INDEX(Battery!C:C,D62+1))/(INDEX(Battery!B:B,D62)-INDEX(Battery!C:C,B62+1))*(B62-INDEX(Battery!C:C,B62+1))</f>
        <v>3.9112813360333325</v>
      </c>
      <c r="F62">
        <f t="shared" si="0"/>
        <v>3.7549999999999999</v>
      </c>
      <c r="G62">
        <f>MATCH(F62,Load!C$3:C$15,1)</f>
        <v>7</v>
      </c>
      <c r="H62">
        <f t="shared" si="3"/>
        <v>90.518299999999996</v>
      </c>
      <c r="I62">
        <f t="shared" si="5"/>
        <v>9.0518300000000487</v>
      </c>
    </row>
    <row r="63" spans="1:9" x14ac:dyDescent="0.3">
      <c r="A63">
        <v>5.9</v>
      </c>
      <c r="B63">
        <f t="shared" si="4"/>
        <v>73.297101499999897</v>
      </c>
      <c r="C63">
        <f t="shared" si="6"/>
        <v>1465.9420299999979</v>
      </c>
      <c r="D63">
        <f>MATCH(B63,Battery!B:B,-1)</f>
        <v>14</v>
      </c>
      <c r="E63" cm="1">
        <f t="array" ref="E63">INDEX(Battery!C:C,D63+1)+(INDEX(Battery!C:C,D63)-INDEX(Battery!C:C,D63+1))/(INDEX(Battery!B:B,D63)-INDEX(Battery!C:C,B63+1))*(B63-INDEX(Battery!C:C,B63+1))</f>
        <v>3.9110660536732609</v>
      </c>
      <c r="F63">
        <f t="shared" si="0"/>
        <v>3.7549999999999999</v>
      </c>
      <c r="G63">
        <f>MATCH(F63,Load!C$3:C$15,1)</f>
        <v>7</v>
      </c>
      <c r="H63">
        <f t="shared" si="3"/>
        <v>90.518299999999996</v>
      </c>
      <c r="I63">
        <f t="shared" si="5"/>
        <v>9.051829999999967</v>
      </c>
    </row>
    <row r="64" spans="1:9" x14ac:dyDescent="0.3">
      <c r="A64">
        <v>6</v>
      </c>
      <c r="B64">
        <f t="shared" si="4"/>
        <v>72.8445099999999</v>
      </c>
      <c r="C64">
        <f t="shared" si="6"/>
        <v>1456.890199999998</v>
      </c>
      <c r="D64">
        <f>MATCH(B64,Battery!B:B,-1)</f>
        <v>14</v>
      </c>
      <c r="E64" cm="1">
        <f t="array" ref="E64">INDEX(Battery!C:C,D64+1)+(INDEX(Battery!C:C,D64)-INDEX(Battery!C:C,D64+1))/(INDEX(Battery!B:B,D64)-INDEX(Battery!C:C,B64+1))*(B64-INDEX(Battery!C:C,B64+1))</f>
        <v>3.9108507713131888</v>
      </c>
      <c r="F64">
        <f t="shared" si="0"/>
        <v>3.7549999999999999</v>
      </c>
      <c r="G64">
        <f>MATCH(F64,Load!C$3:C$15,1)</f>
        <v>7</v>
      </c>
      <c r="H64">
        <f t="shared" si="3"/>
        <v>90.518299999999996</v>
      </c>
      <c r="I64">
        <f t="shared" si="5"/>
        <v>9.051829999999967</v>
      </c>
    </row>
    <row r="65" spans="1:9" x14ac:dyDescent="0.3">
      <c r="A65">
        <v>6.1</v>
      </c>
      <c r="B65">
        <f t="shared" si="4"/>
        <v>72.391918499999903</v>
      </c>
      <c r="C65">
        <f t="shared" si="6"/>
        <v>1447.8383699999981</v>
      </c>
      <c r="D65">
        <f>MATCH(B65,Battery!B:B,-1)</f>
        <v>14</v>
      </c>
      <c r="E65" cm="1">
        <f t="array" ref="E65">INDEX(Battery!C:C,D65+1)+(INDEX(Battery!C:C,D65)-INDEX(Battery!C:C,D65+1))/(INDEX(Battery!B:B,D65)-INDEX(Battery!C:C,B65+1))*(B65-INDEX(Battery!C:C,B65+1))</f>
        <v>3.9106354889531172</v>
      </c>
      <c r="F65">
        <f t="shared" si="0"/>
        <v>3.7549999999999999</v>
      </c>
      <c r="G65">
        <f>MATCH(F65,Load!C$3:C$15,1)</f>
        <v>7</v>
      </c>
      <c r="H65">
        <f t="shared" si="3"/>
        <v>90.518299999999996</v>
      </c>
      <c r="I65">
        <f t="shared" si="5"/>
        <v>9.0518300000000487</v>
      </c>
    </row>
    <row r="66" spans="1:9" x14ac:dyDescent="0.3">
      <c r="A66">
        <v>6.2</v>
      </c>
      <c r="B66">
        <f t="shared" si="4"/>
        <v>71.939326999999892</v>
      </c>
      <c r="C66">
        <f t="shared" si="6"/>
        <v>1438.786539999998</v>
      </c>
      <c r="D66">
        <f>MATCH(B66,Battery!B:B,-1)</f>
        <v>14</v>
      </c>
      <c r="E66" cm="1">
        <f t="array" ref="E66">INDEX(Battery!C:C,D66+1)+(INDEX(Battery!C:C,D66)-INDEX(Battery!C:C,D66+1))/(INDEX(Battery!B:B,D66)-INDEX(Battery!C:C,B66+1))*(B66-INDEX(Battery!C:C,B66+1))</f>
        <v>3.9104202065930456</v>
      </c>
      <c r="F66">
        <f t="shared" si="0"/>
        <v>3.7549999999999999</v>
      </c>
      <c r="G66">
        <f>MATCH(F66,Load!C$3:C$15,1)</f>
        <v>7</v>
      </c>
      <c r="H66">
        <f t="shared" si="3"/>
        <v>90.518299999999996</v>
      </c>
      <c r="I66">
        <f t="shared" si="5"/>
        <v>9.051829999999967</v>
      </c>
    </row>
    <row r="67" spans="1:9" x14ac:dyDescent="0.3">
      <c r="A67">
        <v>6.3</v>
      </c>
      <c r="B67">
        <f t="shared" si="4"/>
        <v>71.486735499999909</v>
      </c>
      <c r="C67">
        <f t="shared" si="6"/>
        <v>1429.7347099999981</v>
      </c>
      <c r="D67">
        <f>MATCH(B67,Battery!B:B,-1)</f>
        <v>14</v>
      </c>
      <c r="E67" cm="1">
        <f t="array" ref="E67">INDEX(Battery!C:C,D67+1)+(INDEX(Battery!C:C,D67)-INDEX(Battery!C:C,D67+1))/(INDEX(Battery!B:B,D67)-INDEX(Battery!C:C,B67+1))*(B67-INDEX(Battery!C:C,B67+1))</f>
        <v>3.9102049242329739</v>
      </c>
      <c r="F67">
        <f t="shared" si="0"/>
        <v>3.7549999999999999</v>
      </c>
      <c r="G67">
        <f>MATCH(F67,Load!C$3:C$15,1)</f>
        <v>7</v>
      </c>
      <c r="H67">
        <f t="shared" si="3"/>
        <v>90.518299999999996</v>
      </c>
      <c r="I67">
        <f t="shared" si="5"/>
        <v>9.0518300000000487</v>
      </c>
    </row>
    <row r="68" spans="1:9" x14ac:dyDescent="0.3">
      <c r="A68">
        <v>6.4</v>
      </c>
      <c r="B68">
        <f t="shared" si="4"/>
        <v>71.034143999999898</v>
      </c>
      <c r="C68">
        <f t="shared" si="6"/>
        <v>1420.682879999998</v>
      </c>
      <c r="D68">
        <f>MATCH(B68,Battery!B:B,-1)</f>
        <v>15</v>
      </c>
      <c r="E68" cm="1">
        <f t="array" ref="E68">INDEX(Battery!C:C,D68+1)+(INDEX(Battery!C:C,D68)-INDEX(Battery!C:C,D68+1))/(INDEX(Battery!B:B,D68)-INDEX(Battery!C:C,B68+1))*(B68-INDEX(Battery!C:C,B68+1))</f>
        <v>3.8760714350678347</v>
      </c>
      <c r="F68">
        <f t="shared" ref="F68:F131" si="7">MIN($K$3,E68-$L$3)-$M$3</f>
        <v>3.7549999999999999</v>
      </c>
      <c r="G68">
        <f>MATCH(F68,Load!C$3:C$15,1)</f>
        <v>7</v>
      </c>
      <c r="H68">
        <f t="shared" ref="H68:H131" si="8" xml:space="preserve"> 22.6* F68+ 5.5703+$N$3*0.001</f>
        <v>90.518299999999996</v>
      </c>
      <c r="I68">
        <f t="shared" ref="I68:I99" si="9">H68*(A69-A68)</f>
        <v>9.051829999999967</v>
      </c>
    </row>
    <row r="69" spans="1:9" x14ac:dyDescent="0.3">
      <c r="A69">
        <v>6.5</v>
      </c>
      <c r="B69">
        <f t="shared" si="4"/>
        <v>70.581552499999916</v>
      </c>
      <c r="C69">
        <f t="shared" ref="C69:C100" si="10">C68-I68</f>
        <v>1411.6310499999981</v>
      </c>
      <c r="D69">
        <f>MATCH(B69,Battery!B:B,-1)</f>
        <v>15</v>
      </c>
      <c r="E69" cm="1">
        <f t="array" ref="E69">INDEX(Battery!C:C,D69+1)+(INDEX(Battery!C:C,D69)-INDEX(Battery!C:C,D69+1))/(INDEX(Battery!B:B,D69)-INDEX(Battery!C:C,B69+1))*(B69-INDEX(Battery!C:C,B69+1))</f>
        <v>3.8758828973966164</v>
      </c>
      <c r="F69">
        <f t="shared" si="7"/>
        <v>3.7549999999999999</v>
      </c>
      <c r="G69">
        <f>MATCH(F69,Load!C$3:C$15,1)</f>
        <v>7</v>
      </c>
      <c r="H69">
        <f t="shared" si="8"/>
        <v>90.518299999999996</v>
      </c>
      <c r="I69">
        <f t="shared" si="9"/>
        <v>9.051829999999967</v>
      </c>
    </row>
    <row r="70" spans="1:9" x14ac:dyDescent="0.3">
      <c r="A70">
        <v>6.6</v>
      </c>
      <c r="B70">
        <f t="shared" si="4"/>
        <v>70.128960999999919</v>
      </c>
      <c r="C70">
        <f t="shared" si="10"/>
        <v>1402.5792199999983</v>
      </c>
      <c r="D70">
        <f>MATCH(B70,Battery!B:B,-1)</f>
        <v>15</v>
      </c>
      <c r="E70" cm="1">
        <f t="array" ref="E70">INDEX(Battery!C:C,D70+1)+(INDEX(Battery!C:C,D70)-INDEX(Battery!C:C,D70+1))/(INDEX(Battery!B:B,D70)-INDEX(Battery!C:C,B70+1))*(B70-INDEX(Battery!C:C,B70+1))</f>
        <v>3.8756943597253986</v>
      </c>
      <c r="F70">
        <f t="shared" si="7"/>
        <v>3.7549999999999999</v>
      </c>
      <c r="G70">
        <f>MATCH(F70,Load!C$3:C$15,1)</f>
        <v>7</v>
      </c>
      <c r="H70">
        <f t="shared" si="8"/>
        <v>90.518299999999996</v>
      </c>
      <c r="I70">
        <f t="shared" si="9"/>
        <v>9.0518300000000487</v>
      </c>
    </row>
    <row r="71" spans="1:9" x14ac:dyDescent="0.3">
      <c r="A71">
        <v>6.7</v>
      </c>
      <c r="B71">
        <f t="shared" si="4"/>
        <v>69.676369499999907</v>
      </c>
      <c r="C71">
        <f t="shared" si="10"/>
        <v>1393.5273899999981</v>
      </c>
      <c r="D71">
        <f>MATCH(B71,Battery!B:B,-1)</f>
        <v>15</v>
      </c>
      <c r="E71" cm="1">
        <f t="array" ref="E71">INDEX(Battery!C:C,D71+1)+(INDEX(Battery!C:C,D71)-INDEX(Battery!C:C,D71+1))/(INDEX(Battery!B:B,D71)-INDEX(Battery!C:C,B71+1))*(B71-INDEX(Battery!C:C,B71+1))</f>
        <v>3.8755058220541803</v>
      </c>
      <c r="F71">
        <f t="shared" si="7"/>
        <v>3.7549999999999999</v>
      </c>
      <c r="G71">
        <f>MATCH(F71,Load!C$3:C$15,1)</f>
        <v>7</v>
      </c>
      <c r="H71">
        <f t="shared" si="8"/>
        <v>90.518299999999996</v>
      </c>
      <c r="I71">
        <f t="shared" si="9"/>
        <v>9.051829999999967</v>
      </c>
    </row>
    <row r="72" spans="1:9" x14ac:dyDescent="0.3">
      <c r="A72">
        <v>6.8</v>
      </c>
      <c r="B72">
        <f t="shared" si="4"/>
        <v>69.223777999999911</v>
      </c>
      <c r="C72">
        <f t="shared" si="10"/>
        <v>1384.4755599999983</v>
      </c>
      <c r="D72">
        <f>MATCH(B72,Battery!B:B,-1)</f>
        <v>15</v>
      </c>
      <c r="E72" cm="1">
        <f t="array" ref="E72">INDEX(Battery!C:C,D72+1)+(INDEX(Battery!C:C,D72)-INDEX(Battery!C:C,D72+1))/(INDEX(Battery!B:B,D72)-INDEX(Battery!C:C,B72+1))*(B72-INDEX(Battery!C:C,B72+1))</f>
        <v>3.8753172843829624</v>
      </c>
      <c r="F72">
        <f t="shared" si="7"/>
        <v>3.7549999999999999</v>
      </c>
      <c r="G72">
        <f>MATCH(F72,Load!C$3:C$15,1)</f>
        <v>7</v>
      </c>
      <c r="H72">
        <f t="shared" si="8"/>
        <v>90.518299999999996</v>
      </c>
      <c r="I72">
        <f t="shared" si="9"/>
        <v>9.0518300000000487</v>
      </c>
    </row>
    <row r="73" spans="1:9" x14ac:dyDescent="0.3">
      <c r="A73">
        <v>6.9</v>
      </c>
      <c r="B73">
        <f t="shared" si="4"/>
        <v>68.771186499999899</v>
      </c>
      <c r="C73">
        <f t="shared" si="10"/>
        <v>1375.4237299999982</v>
      </c>
      <c r="D73">
        <f>MATCH(B73,Battery!B:B,-1)</f>
        <v>15</v>
      </c>
      <c r="E73" cm="1">
        <f t="array" ref="E73">INDEX(Battery!C:C,D73+1)+(INDEX(Battery!C:C,D73)-INDEX(Battery!C:C,D73+1))/(INDEX(Battery!B:B,D73)-INDEX(Battery!C:C,B73+1))*(B73-INDEX(Battery!C:C,B73+1))</f>
        <v>3.8751287467117441</v>
      </c>
      <c r="F73">
        <f t="shared" si="7"/>
        <v>3.7549999999999999</v>
      </c>
      <c r="G73">
        <f>MATCH(F73,Load!C$3:C$15,1)</f>
        <v>7</v>
      </c>
      <c r="H73">
        <f t="shared" si="8"/>
        <v>90.518299999999996</v>
      </c>
      <c r="I73">
        <f t="shared" si="9"/>
        <v>9.051829999999967</v>
      </c>
    </row>
    <row r="74" spans="1:9" x14ac:dyDescent="0.3">
      <c r="A74">
        <v>7</v>
      </c>
      <c r="B74">
        <f t="shared" si="4"/>
        <v>68.318594999999917</v>
      </c>
      <c r="C74">
        <f t="shared" si="10"/>
        <v>1366.3718999999983</v>
      </c>
      <c r="D74">
        <f>MATCH(B74,Battery!B:B,-1)</f>
        <v>15</v>
      </c>
      <c r="E74" cm="1">
        <f t="array" ref="E74">INDEX(Battery!C:C,D74+1)+(INDEX(Battery!C:C,D74)-INDEX(Battery!C:C,D74+1))/(INDEX(Battery!B:B,D74)-INDEX(Battery!C:C,B74+1))*(B74-INDEX(Battery!C:C,B74+1))</f>
        <v>3.8749402090405263</v>
      </c>
      <c r="F74">
        <f t="shared" si="7"/>
        <v>3.7549999999999999</v>
      </c>
      <c r="G74">
        <f>MATCH(F74,Load!C$3:C$15,1)</f>
        <v>7</v>
      </c>
      <c r="H74">
        <f t="shared" si="8"/>
        <v>90.518299999999996</v>
      </c>
      <c r="I74">
        <f t="shared" si="9"/>
        <v>9.051829999999967</v>
      </c>
    </row>
    <row r="75" spans="1:9" x14ac:dyDescent="0.3">
      <c r="A75">
        <v>7.1</v>
      </c>
      <c r="B75">
        <f t="shared" si="4"/>
        <v>67.86600349999992</v>
      </c>
      <c r="C75">
        <f t="shared" si="10"/>
        <v>1357.3200699999984</v>
      </c>
      <c r="D75">
        <f>MATCH(B75,Battery!B:B,-1)</f>
        <v>15</v>
      </c>
      <c r="E75" cm="1">
        <f t="array" ref="E75">INDEX(Battery!C:C,D75+1)+(INDEX(Battery!C:C,D75)-INDEX(Battery!C:C,D75+1))/(INDEX(Battery!B:B,D75)-INDEX(Battery!C:C,B75+1))*(B75-INDEX(Battery!C:C,B75+1))</f>
        <v>3.874751671369308</v>
      </c>
      <c r="F75">
        <f t="shared" si="7"/>
        <v>3.7549999999999999</v>
      </c>
      <c r="G75">
        <f>MATCH(F75,Load!C$3:C$15,1)</f>
        <v>7</v>
      </c>
      <c r="H75">
        <f t="shared" si="8"/>
        <v>90.518299999999996</v>
      </c>
      <c r="I75">
        <f t="shared" si="9"/>
        <v>9.0518300000000487</v>
      </c>
    </row>
    <row r="76" spans="1:9" x14ac:dyDescent="0.3">
      <c r="A76">
        <v>7.2</v>
      </c>
      <c r="B76">
        <f t="shared" si="4"/>
        <v>67.413411999999923</v>
      </c>
      <c r="C76">
        <f t="shared" si="10"/>
        <v>1348.2682399999983</v>
      </c>
      <c r="D76">
        <f>MATCH(B76,Battery!B:B,-1)</f>
        <v>15</v>
      </c>
      <c r="E76" cm="1">
        <f t="array" ref="E76">INDEX(Battery!C:C,D76+1)+(INDEX(Battery!C:C,D76)-INDEX(Battery!C:C,D76+1))/(INDEX(Battery!B:B,D76)-INDEX(Battery!C:C,B76+1))*(B76-INDEX(Battery!C:C,B76+1))</f>
        <v>3.8745631336980901</v>
      </c>
      <c r="F76">
        <f t="shared" si="7"/>
        <v>3.7549999999999999</v>
      </c>
      <c r="G76">
        <f>MATCH(F76,Load!C$3:C$15,1)</f>
        <v>7</v>
      </c>
      <c r="H76">
        <f t="shared" si="8"/>
        <v>90.518299999999996</v>
      </c>
      <c r="I76">
        <f t="shared" si="9"/>
        <v>9.051829999999967</v>
      </c>
    </row>
    <row r="77" spans="1:9" x14ac:dyDescent="0.3">
      <c r="A77">
        <v>7.3</v>
      </c>
      <c r="B77">
        <f t="shared" si="4"/>
        <v>66.960820499999912</v>
      </c>
      <c r="C77">
        <f t="shared" si="10"/>
        <v>1339.2164099999984</v>
      </c>
      <c r="D77">
        <f>MATCH(B77,Battery!B:B,-1)</f>
        <v>15</v>
      </c>
      <c r="E77" cm="1">
        <f t="array" ref="E77">INDEX(Battery!C:C,D77+1)+(INDEX(Battery!C:C,D77)-INDEX(Battery!C:C,D77+1))/(INDEX(Battery!B:B,D77)-INDEX(Battery!C:C,B77+1))*(B77-INDEX(Battery!C:C,B77+1))</f>
        <v>3.8743745960268718</v>
      </c>
      <c r="F77">
        <f t="shared" si="7"/>
        <v>3.7549999999999999</v>
      </c>
      <c r="G77">
        <f>MATCH(F77,Load!C$3:C$15,1)</f>
        <v>7</v>
      </c>
      <c r="H77">
        <f t="shared" si="8"/>
        <v>90.518299999999996</v>
      </c>
      <c r="I77">
        <f t="shared" si="9"/>
        <v>9.0518300000000487</v>
      </c>
    </row>
    <row r="78" spans="1:9" x14ac:dyDescent="0.3">
      <c r="A78">
        <v>7.4</v>
      </c>
      <c r="B78">
        <f t="shared" si="4"/>
        <v>66.508228999999915</v>
      </c>
      <c r="C78">
        <f t="shared" si="10"/>
        <v>1330.1645799999983</v>
      </c>
      <c r="D78">
        <f>MATCH(B78,Battery!B:B,-1)</f>
        <v>16</v>
      </c>
      <c r="E78" cm="1">
        <f t="array" ref="E78">INDEX(Battery!C:C,D78+1)+(INDEX(Battery!C:C,D78)-INDEX(Battery!C:C,D78+1))/(INDEX(Battery!B:B,D78)-INDEX(Battery!C:C,B78+1))*(B78-INDEX(Battery!C:C,B78+1))</f>
        <v>3.8464647366917499</v>
      </c>
      <c r="F78">
        <f t="shared" si="7"/>
        <v>3.7549999999999999</v>
      </c>
      <c r="G78">
        <f>MATCH(F78,Load!C$3:C$15,1)</f>
        <v>7</v>
      </c>
      <c r="H78">
        <f t="shared" si="8"/>
        <v>90.518299999999996</v>
      </c>
      <c r="I78">
        <f t="shared" si="9"/>
        <v>9.051829999999967</v>
      </c>
    </row>
    <row r="79" spans="1:9" x14ac:dyDescent="0.3">
      <c r="A79">
        <v>7.5</v>
      </c>
      <c r="B79">
        <f t="shared" si="4"/>
        <v>66.055637499999918</v>
      </c>
      <c r="C79">
        <f t="shared" si="10"/>
        <v>1321.1127499999984</v>
      </c>
      <c r="D79">
        <f>MATCH(B79,Battery!B:B,-1)</f>
        <v>16</v>
      </c>
      <c r="E79" cm="1">
        <f t="array" ref="E79">INDEX(Battery!C:C,D79+1)+(INDEX(Battery!C:C,D79)-INDEX(Battery!C:C,D79+1))/(INDEX(Battery!B:B,D79)-INDEX(Battery!C:C,B79+1))*(B79-INDEX(Battery!C:C,B79+1))</f>
        <v>3.8462732378088584</v>
      </c>
      <c r="F79">
        <f t="shared" si="7"/>
        <v>3.7549999999999999</v>
      </c>
      <c r="G79">
        <f>MATCH(F79,Load!C$3:C$15,1)</f>
        <v>7</v>
      </c>
      <c r="H79">
        <f t="shared" si="8"/>
        <v>90.518299999999996</v>
      </c>
      <c r="I79">
        <f t="shared" si="9"/>
        <v>9.051829999999967</v>
      </c>
    </row>
    <row r="80" spans="1:9" x14ac:dyDescent="0.3">
      <c r="A80">
        <v>7.6</v>
      </c>
      <c r="B80">
        <f t="shared" si="4"/>
        <v>65.603045999999935</v>
      </c>
      <c r="C80">
        <f t="shared" si="10"/>
        <v>1312.0609199999985</v>
      </c>
      <c r="D80">
        <f>MATCH(B80,Battery!B:B,-1)</f>
        <v>16</v>
      </c>
      <c r="E80" cm="1">
        <f t="array" ref="E80">INDEX(Battery!C:C,D80+1)+(INDEX(Battery!C:C,D80)-INDEX(Battery!C:C,D80+1))/(INDEX(Battery!B:B,D80)-INDEX(Battery!C:C,B80+1))*(B80-INDEX(Battery!C:C,B80+1))</f>
        <v>3.8460817389259665</v>
      </c>
      <c r="F80">
        <f t="shared" si="7"/>
        <v>3.7549999999999999</v>
      </c>
      <c r="G80">
        <f>MATCH(F80,Load!C$3:C$15,1)</f>
        <v>7</v>
      </c>
      <c r="H80">
        <f t="shared" si="8"/>
        <v>90.518299999999996</v>
      </c>
      <c r="I80">
        <f t="shared" si="9"/>
        <v>9.0518300000000487</v>
      </c>
    </row>
    <row r="81" spans="1:9" x14ac:dyDescent="0.3">
      <c r="A81">
        <v>7.7</v>
      </c>
      <c r="B81">
        <f t="shared" si="4"/>
        <v>65.150454499999924</v>
      </c>
      <c r="C81">
        <f t="shared" si="10"/>
        <v>1303.0090899999984</v>
      </c>
      <c r="D81">
        <f>MATCH(B81,Battery!B:B,-1)</f>
        <v>16</v>
      </c>
      <c r="E81" cm="1">
        <f t="array" ref="E81">INDEX(Battery!C:C,D81+1)+(INDEX(Battery!C:C,D81)-INDEX(Battery!C:C,D81+1))/(INDEX(Battery!B:B,D81)-INDEX(Battery!C:C,B81+1))*(B81-INDEX(Battery!C:C,B81+1))</f>
        <v>3.8458902400430746</v>
      </c>
      <c r="F81">
        <f t="shared" si="7"/>
        <v>3.7549999999999999</v>
      </c>
      <c r="G81">
        <f>MATCH(F81,Load!C$3:C$15,1)</f>
        <v>7</v>
      </c>
      <c r="H81">
        <f t="shared" si="8"/>
        <v>90.518299999999996</v>
      </c>
      <c r="I81">
        <f t="shared" si="9"/>
        <v>9.051829999999967</v>
      </c>
    </row>
    <row r="82" spans="1:9" x14ac:dyDescent="0.3">
      <c r="A82">
        <v>7.8</v>
      </c>
      <c r="B82">
        <f t="shared" si="4"/>
        <v>64.697862999999927</v>
      </c>
      <c r="C82">
        <f t="shared" si="10"/>
        <v>1293.9572599999985</v>
      </c>
      <c r="D82">
        <f>MATCH(B82,Battery!B:B,-1)</f>
        <v>16</v>
      </c>
      <c r="E82" cm="1">
        <f t="array" ref="E82">INDEX(Battery!C:C,D82+1)+(INDEX(Battery!C:C,D82)-INDEX(Battery!C:C,D82+1))/(INDEX(Battery!B:B,D82)-INDEX(Battery!C:C,B82+1))*(B82-INDEX(Battery!C:C,B82+1))</f>
        <v>3.8456987411601831</v>
      </c>
      <c r="F82">
        <f t="shared" si="7"/>
        <v>3.7549999999999999</v>
      </c>
      <c r="G82">
        <f>MATCH(F82,Load!C$3:C$15,1)</f>
        <v>7</v>
      </c>
      <c r="H82">
        <f t="shared" si="8"/>
        <v>90.518299999999996</v>
      </c>
      <c r="I82">
        <f t="shared" si="9"/>
        <v>9.0518300000000487</v>
      </c>
    </row>
    <row r="83" spans="1:9" x14ac:dyDescent="0.3">
      <c r="A83">
        <v>7.9</v>
      </c>
      <c r="B83">
        <f t="shared" si="4"/>
        <v>64.245271499999916</v>
      </c>
      <c r="C83">
        <f t="shared" si="10"/>
        <v>1284.9054299999984</v>
      </c>
      <c r="D83">
        <f>MATCH(B83,Battery!B:B,-1)</f>
        <v>16</v>
      </c>
      <c r="E83" cm="1">
        <f t="array" ref="E83">INDEX(Battery!C:C,D83+1)+(INDEX(Battery!C:C,D83)-INDEX(Battery!C:C,D83+1))/(INDEX(Battery!B:B,D83)-INDEX(Battery!C:C,B83+1))*(B83-INDEX(Battery!C:C,B83+1))</f>
        <v>3.8455072422772911</v>
      </c>
      <c r="F83">
        <f t="shared" si="7"/>
        <v>3.7549999999999999</v>
      </c>
      <c r="G83">
        <f>MATCH(F83,Load!C$3:C$15,1)</f>
        <v>7</v>
      </c>
      <c r="H83">
        <f t="shared" si="8"/>
        <v>90.518299999999996</v>
      </c>
      <c r="I83">
        <f t="shared" si="9"/>
        <v>9.051829999999967</v>
      </c>
    </row>
    <row r="84" spans="1:9" x14ac:dyDescent="0.3">
      <c r="A84">
        <v>8</v>
      </c>
      <c r="B84">
        <f t="shared" si="4"/>
        <v>63.792679999999926</v>
      </c>
      <c r="C84">
        <f t="shared" si="10"/>
        <v>1275.8535999999986</v>
      </c>
      <c r="D84">
        <f>MATCH(B84,Battery!B:B,-1)</f>
        <v>16</v>
      </c>
      <c r="E84" cm="1">
        <f t="array" ref="E84">INDEX(Battery!C:C,D84+1)+(INDEX(Battery!C:C,D84)-INDEX(Battery!C:C,D84+1))/(INDEX(Battery!B:B,D84)-INDEX(Battery!C:C,B84+1))*(B84-INDEX(Battery!C:C,B84+1))</f>
        <v>3.8453157433943996</v>
      </c>
      <c r="F84">
        <f t="shared" si="7"/>
        <v>3.7549999999999999</v>
      </c>
      <c r="G84">
        <f>MATCH(F84,Load!C$3:C$15,1)</f>
        <v>7</v>
      </c>
      <c r="H84">
        <f t="shared" si="8"/>
        <v>90.518299999999996</v>
      </c>
      <c r="I84">
        <f t="shared" si="9"/>
        <v>9.051829999999967</v>
      </c>
    </row>
    <row r="85" spans="1:9" x14ac:dyDescent="0.3">
      <c r="A85">
        <v>8.1</v>
      </c>
      <c r="B85">
        <f t="shared" si="4"/>
        <v>63.340088499999936</v>
      </c>
      <c r="C85">
        <f t="shared" si="10"/>
        <v>1266.8017699999987</v>
      </c>
      <c r="D85">
        <f>MATCH(B85,Battery!B:B,-1)</f>
        <v>16</v>
      </c>
      <c r="E85" cm="1">
        <f t="array" ref="E85">INDEX(Battery!C:C,D85+1)+(INDEX(Battery!C:C,D85)-INDEX(Battery!C:C,D85+1))/(INDEX(Battery!B:B,D85)-INDEX(Battery!C:C,B85+1))*(B85-INDEX(Battery!C:C,B85+1))</f>
        <v>3.8451242445115077</v>
      </c>
      <c r="F85">
        <f t="shared" si="7"/>
        <v>3.7549999999999999</v>
      </c>
      <c r="G85">
        <f>MATCH(F85,Load!C$3:C$15,1)</f>
        <v>7</v>
      </c>
      <c r="H85">
        <f t="shared" si="8"/>
        <v>90.518299999999996</v>
      </c>
      <c r="I85">
        <f t="shared" si="9"/>
        <v>9.051829999999967</v>
      </c>
    </row>
    <row r="86" spans="1:9" x14ac:dyDescent="0.3">
      <c r="A86">
        <v>8.1999999999999993</v>
      </c>
      <c r="B86">
        <f t="shared" si="4"/>
        <v>62.887496999999939</v>
      </c>
      <c r="C86">
        <f t="shared" si="10"/>
        <v>1257.7499399999988</v>
      </c>
      <c r="D86">
        <f>MATCH(B86,Battery!B:B,-1)</f>
        <v>16</v>
      </c>
      <c r="E86" cm="1">
        <f t="array" ref="E86">INDEX(Battery!C:C,D86+1)+(INDEX(Battery!C:C,D86)-INDEX(Battery!C:C,D86+1))/(INDEX(Battery!B:B,D86)-INDEX(Battery!C:C,B86+1))*(B86-INDEX(Battery!C:C,B86+1))</f>
        <v>3.8449327456286158</v>
      </c>
      <c r="F86">
        <f t="shared" si="7"/>
        <v>3.7549999999999999</v>
      </c>
      <c r="G86">
        <f>MATCH(F86,Load!C$3:C$15,1)</f>
        <v>7</v>
      </c>
      <c r="H86">
        <f t="shared" si="8"/>
        <v>90.518299999999996</v>
      </c>
      <c r="I86">
        <f t="shared" si="9"/>
        <v>9.0518300000001286</v>
      </c>
    </row>
    <row r="87" spans="1:9" x14ac:dyDescent="0.3">
      <c r="A87">
        <v>8.3000000000000007</v>
      </c>
      <c r="B87">
        <f t="shared" si="4"/>
        <v>62.434905499999935</v>
      </c>
      <c r="C87">
        <f t="shared" si="10"/>
        <v>1248.6981099999987</v>
      </c>
      <c r="D87">
        <f>MATCH(B87,Battery!B:B,-1)</f>
        <v>16</v>
      </c>
      <c r="E87" cm="1">
        <f t="array" ref="E87">INDEX(Battery!C:C,D87+1)+(INDEX(Battery!C:C,D87)-INDEX(Battery!C:C,D87+1))/(INDEX(Battery!B:B,D87)-INDEX(Battery!C:C,B87+1))*(B87-INDEX(Battery!C:C,B87+1))</f>
        <v>3.8447412467457243</v>
      </c>
      <c r="F87">
        <f t="shared" si="7"/>
        <v>3.7549999999999999</v>
      </c>
      <c r="G87">
        <f>MATCH(F87,Load!C$3:C$15,1)</f>
        <v>7</v>
      </c>
      <c r="H87">
        <f t="shared" si="8"/>
        <v>90.518299999999996</v>
      </c>
      <c r="I87">
        <f t="shared" si="9"/>
        <v>9.051829999999967</v>
      </c>
    </row>
    <row r="88" spans="1:9" x14ac:dyDescent="0.3">
      <c r="A88">
        <v>8.4</v>
      </c>
      <c r="B88">
        <f t="shared" si="4"/>
        <v>61.982313999999938</v>
      </c>
      <c r="C88">
        <f t="shared" si="10"/>
        <v>1239.6462799999988</v>
      </c>
      <c r="D88">
        <f>MATCH(B88,Battery!B:B,-1)</f>
        <v>16</v>
      </c>
      <c r="E88" cm="1">
        <f t="array" ref="E88">INDEX(Battery!C:C,D88+1)+(INDEX(Battery!C:C,D88)-INDEX(Battery!C:C,D88+1))/(INDEX(Battery!B:B,D88)-INDEX(Battery!C:C,B88+1))*(B88-INDEX(Battery!C:C,B88+1))</f>
        <v>3.8445497478628323</v>
      </c>
      <c r="F88">
        <f t="shared" si="7"/>
        <v>3.7549999999999999</v>
      </c>
      <c r="G88">
        <f>MATCH(F88,Load!C$3:C$15,1)</f>
        <v>7</v>
      </c>
      <c r="H88">
        <f t="shared" si="8"/>
        <v>90.518299999999996</v>
      </c>
      <c r="I88">
        <f t="shared" si="9"/>
        <v>9.051829999999967</v>
      </c>
    </row>
    <row r="89" spans="1:9" x14ac:dyDescent="0.3">
      <c r="A89">
        <v>8.5</v>
      </c>
      <c r="B89">
        <f t="shared" si="4"/>
        <v>61.529722499999949</v>
      </c>
      <c r="C89">
        <f t="shared" si="10"/>
        <v>1230.5944499999989</v>
      </c>
      <c r="D89">
        <f>MATCH(B89,Battery!B:B,-1)</f>
        <v>16</v>
      </c>
      <c r="E89" cm="1">
        <f t="array" ref="E89">INDEX(Battery!C:C,D89+1)+(INDEX(Battery!C:C,D89)-INDEX(Battery!C:C,D89+1))/(INDEX(Battery!B:B,D89)-INDEX(Battery!C:C,B89+1))*(B89-INDEX(Battery!C:C,B89+1))</f>
        <v>3.8443582489799408</v>
      </c>
      <c r="F89">
        <f t="shared" si="7"/>
        <v>3.7549999999999999</v>
      </c>
      <c r="G89">
        <f>MATCH(F89,Load!C$3:C$15,1)</f>
        <v>7</v>
      </c>
      <c r="H89">
        <f t="shared" si="8"/>
        <v>90.518299999999996</v>
      </c>
      <c r="I89">
        <f t="shared" si="9"/>
        <v>9.051829999999967</v>
      </c>
    </row>
    <row r="90" spans="1:9" x14ac:dyDescent="0.3">
      <c r="A90">
        <v>8.6</v>
      </c>
      <c r="B90">
        <f t="shared" si="4"/>
        <v>61.077130999999952</v>
      </c>
      <c r="C90">
        <f t="shared" si="10"/>
        <v>1221.542619999999</v>
      </c>
      <c r="D90">
        <f>MATCH(B90,Battery!B:B,-1)</f>
        <v>17</v>
      </c>
      <c r="E90" cm="1">
        <f t="array" ref="E90">INDEX(Battery!C:C,D90+1)+(INDEX(Battery!C:C,D90)-INDEX(Battery!C:C,D90+1))/(INDEX(Battery!B:B,D90)-INDEX(Battery!C:C,B90+1))*(B90-INDEX(Battery!C:C,B90+1))</f>
        <v>3.8182234054428648</v>
      </c>
      <c r="F90">
        <f t="shared" si="7"/>
        <v>3.7549999999999999</v>
      </c>
      <c r="G90">
        <f>MATCH(F90,Load!C$3:C$15,1)</f>
        <v>7</v>
      </c>
      <c r="H90">
        <f t="shared" si="8"/>
        <v>90.518299999999996</v>
      </c>
      <c r="I90">
        <f t="shared" si="9"/>
        <v>9.051829999999967</v>
      </c>
    </row>
    <row r="91" spans="1:9" x14ac:dyDescent="0.3">
      <c r="A91">
        <v>8.6999999999999993</v>
      </c>
      <c r="B91">
        <f t="shared" si="4"/>
        <v>60.624539499999955</v>
      </c>
      <c r="C91">
        <f t="shared" si="10"/>
        <v>1212.4907899999992</v>
      </c>
      <c r="D91">
        <f>MATCH(B91,Battery!B:B,-1)</f>
        <v>17</v>
      </c>
      <c r="E91" cm="1">
        <f t="array" ref="E91">INDEX(Battery!C:C,D91+1)+(INDEX(Battery!C:C,D91)-INDEX(Battery!C:C,D91+1))/(INDEX(Battery!B:B,D91)-INDEX(Battery!C:C,B91+1))*(B91-INDEX(Battery!C:C,B91+1))</f>
        <v>3.8180270989555063</v>
      </c>
      <c r="F91">
        <f t="shared" si="7"/>
        <v>3.7549999999999999</v>
      </c>
      <c r="G91">
        <f>MATCH(F91,Load!C$3:C$15,1)</f>
        <v>7</v>
      </c>
      <c r="H91">
        <f t="shared" si="8"/>
        <v>90.518299999999996</v>
      </c>
      <c r="I91">
        <f t="shared" si="9"/>
        <v>9.0518300000001286</v>
      </c>
    </row>
    <row r="92" spans="1:9" x14ac:dyDescent="0.3">
      <c r="A92">
        <v>8.8000000000000007</v>
      </c>
      <c r="B92">
        <f t="shared" si="4"/>
        <v>60.171947999999951</v>
      </c>
      <c r="C92">
        <f t="shared" si="10"/>
        <v>1203.438959999999</v>
      </c>
      <c r="D92">
        <f>MATCH(B92,Battery!B:B,-1)</f>
        <v>17</v>
      </c>
      <c r="E92" cm="1">
        <f t="array" ref="E92">INDEX(Battery!C:C,D92+1)+(INDEX(Battery!C:C,D92)-INDEX(Battery!C:C,D92+1))/(INDEX(Battery!B:B,D92)-INDEX(Battery!C:C,B92+1))*(B92-INDEX(Battery!C:C,B92+1))</f>
        <v>3.8178307924681474</v>
      </c>
      <c r="F92">
        <f t="shared" si="7"/>
        <v>3.7549999999999999</v>
      </c>
      <c r="G92">
        <f>MATCH(F92,Load!C$3:C$15,1)</f>
        <v>7</v>
      </c>
      <c r="H92">
        <f t="shared" si="8"/>
        <v>90.518299999999996</v>
      </c>
      <c r="I92">
        <f t="shared" si="9"/>
        <v>9.051829999999967</v>
      </c>
    </row>
    <row r="93" spans="1:9" x14ac:dyDescent="0.3">
      <c r="A93">
        <v>8.9</v>
      </c>
      <c r="B93">
        <f t="shared" si="4"/>
        <v>59.719356499999954</v>
      </c>
      <c r="C93">
        <f t="shared" si="10"/>
        <v>1194.3871299999992</v>
      </c>
      <c r="D93">
        <f>MATCH(B93,Battery!B:B,-1)</f>
        <v>17</v>
      </c>
      <c r="E93" cm="1">
        <f t="array" ref="E93">INDEX(Battery!C:C,D93+1)+(INDEX(Battery!C:C,D93)-INDEX(Battery!C:C,D93+1))/(INDEX(Battery!B:B,D93)-INDEX(Battery!C:C,B93+1))*(B93-INDEX(Battery!C:C,B93+1))</f>
        <v>3.8176344859807885</v>
      </c>
      <c r="F93">
        <f t="shared" si="7"/>
        <v>3.7549999999999999</v>
      </c>
      <c r="G93">
        <f>MATCH(F93,Load!C$3:C$15,1)</f>
        <v>7</v>
      </c>
      <c r="H93">
        <f t="shared" si="8"/>
        <v>90.518299999999996</v>
      </c>
      <c r="I93">
        <f t="shared" si="9"/>
        <v>9.051829999999967</v>
      </c>
    </row>
    <row r="94" spans="1:9" x14ac:dyDescent="0.3">
      <c r="A94">
        <v>9</v>
      </c>
      <c r="B94">
        <f t="shared" si="4"/>
        <v>59.266764999999964</v>
      </c>
      <c r="C94">
        <f t="shared" si="10"/>
        <v>1185.3352999999993</v>
      </c>
      <c r="D94">
        <f>MATCH(B94,Battery!B:B,-1)</f>
        <v>17</v>
      </c>
      <c r="E94" cm="1">
        <f t="array" ref="E94">INDEX(Battery!C:C,D94+1)+(INDEX(Battery!C:C,D94)-INDEX(Battery!C:C,D94+1))/(INDEX(Battery!B:B,D94)-INDEX(Battery!C:C,B94+1))*(B94-INDEX(Battery!C:C,B94+1))</f>
        <v>3.81743817949343</v>
      </c>
      <c r="F94">
        <f t="shared" si="7"/>
        <v>3.7549999999999999</v>
      </c>
      <c r="G94">
        <f>MATCH(F94,Load!C$3:C$15,1)</f>
        <v>7</v>
      </c>
      <c r="H94">
        <f t="shared" si="8"/>
        <v>90.518299999999996</v>
      </c>
      <c r="I94">
        <f t="shared" si="9"/>
        <v>9.051829999999967</v>
      </c>
    </row>
    <row r="95" spans="1:9" x14ac:dyDescent="0.3">
      <c r="A95">
        <v>9.1</v>
      </c>
      <c r="B95">
        <f t="shared" si="4"/>
        <v>58.814173499999967</v>
      </c>
      <c r="C95">
        <f t="shared" si="10"/>
        <v>1176.2834699999994</v>
      </c>
      <c r="D95">
        <f>MATCH(B95,Battery!B:B,-1)</f>
        <v>17</v>
      </c>
      <c r="E95" cm="1">
        <f t="array" ref="E95">INDEX(Battery!C:C,D95+1)+(INDEX(Battery!C:C,D95)-INDEX(Battery!C:C,D95+1))/(INDEX(Battery!B:B,D95)-INDEX(Battery!C:C,B95+1))*(B95-INDEX(Battery!C:C,B95+1))</f>
        <v>3.8172418730060711</v>
      </c>
      <c r="F95">
        <f t="shared" si="7"/>
        <v>3.7549999999999999</v>
      </c>
      <c r="G95">
        <f>MATCH(F95,Load!C$3:C$15,1)</f>
        <v>7</v>
      </c>
      <c r="H95">
        <f t="shared" si="8"/>
        <v>90.518299999999996</v>
      </c>
      <c r="I95">
        <f t="shared" si="9"/>
        <v>9.051829999999967</v>
      </c>
    </row>
    <row r="96" spans="1:9" x14ac:dyDescent="0.3">
      <c r="A96">
        <v>9.1999999999999993</v>
      </c>
      <c r="B96">
        <f t="shared" si="4"/>
        <v>58.361581999999977</v>
      </c>
      <c r="C96">
        <f t="shared" si="10"/>
        <v>1167.2316399999995</v>
      </c>
      <c r="D96">
        <f>MATCH(B96,Battery!B:B,-1)</f>
        <v>17</v>
      </c>
      <c r="E96" cm="1">
        <f t="array" ref="E96">INDEX(Battery!C:C,D96+1)+(INDEX(Battery!C:C,D96)-INDEX(Battery!C:C,D96+1))/(INDEX(Battery!B:B,D96)-INDEX(Battery!C:C,B96+1))*(B96-INDEX(Battery!C:C,B96+1))</f>
        <v>3.8170455665187122</v>
      </c>
      <c r="F96">
        <f t="shared" si="7"/>
        <v>3.7549999999999999</v>
      </c>
      <c r="G96">
        <f>MATCH(F96,Load!C$3:C$15,1)</f>
        <v>7</v>
      </c>
      <c r="H96">
        <f t="shared" si="8"/>
        <v>90.518299999999996</v>
      </c>
      <c r="I96">
        <f t="shared" si="9"/>
        <v>9.0518300000001286</v>
      </c>
    </row>
    <row r="97" spans="1:9" x14ac:dyDescent="0.3">
      <c r="A97">
        <v>9.3000000000000007</v>
      </c>
      <c r="B97">
        <f t="shared" si="4"/>
        <v>57.908990499999966</v>
      </c>
      <c r="C97">
        <f t="shared" si="10"/>
        <v>1158.1798099999994</v>
      </c>
      <c r="D97">
        <f>MATCH(B97,Battery!B:B,-1)</f>
        <v>17</v>
      </c>
      <c r="E97" cm="1">
        <f t="array" ref="E97">INDEX(Battery!C:C,D97+1)+(INDEX(Battery!C:C,D97)-INDEX(Battery!C:C,D97+1))/(INDEX(Battery!B:B,D97)-INDEX(Battery!C:C,B97+1))*(B97-INDEX(Battery!C:C,B97+1))</f>
        <v>3.8168492600313537</v>
      </c>
      <c r="F97">
        <f t="shared" si="7"/>
        <v>3.7549999999999999</v>
      </c>
      <c r="G97">
        <f>MATCH(F97,Load!C$3:C$15,1)</f>
        <v>7</v>
      </c>
      <c r="H97">
        <f t="shared" si="8"/>
        <v>90.518299999999996</v>
      </c>
      <c r="I97">
        <f t="shared" si="9"/>
        <v>9.051829999999967</v>
      </c>
    </row>
    <row r="98" spans="1:9" x14ac:dyDescent="0.3">
      <c r="A98">
        <v>9.4</v>
      </c>
      <c r="B98">
        <f t="shared" si="4"/>
        <v>57.456398999999983</v>
      </c>
      <c r="C98">
        <f t="shared" si="10"/>
        <v>1149.1279799999995</v>
      </c>
      <c r="D98">
        <f>MATCH(B98,Battery!B:B,-1)</f>
        <v>17</v>
      </c>
      <c r="E98" cm="1">
        <f t="array" ref="E98">INDEX(Battery!C:C,D98+1)+(INDEX(Battery!C:C,D98)-INDEX(Battery!C:C,D98+1))/(INDEX(Battery!B:B,D98)-INDEX(Battery!C:C,B98+1))*(B98-INDEX(Battery!C:C,B98+1))</f>
        <v>3.8166529535439948</v>
      </c>
      <c r="F98">
        <f t="shared" si="7"/>
        <v>3.7549999999999999</v>
      </c>
      <c r="G98">
        <f>MATCH(F98,Load!C$3:C$15,1)</f>
        <v>7</v>
      </c>
      <c r="H98">
        <f t="shared" si="8"/>
        <v>90.518299999999996</v>
      </c>
      <c r="I98">
        <f t="shared" si="9"/>
        <v>9.051829999999967</v>
      </c>
    </row>
    <row r="99" spans="1:9" x14ac:dyDescent="0.3">
      <c r="A99">
        <v>9.5</v>
      </c>
      <c r="B99">
        <f t="shared" si="4"/>
        <v>57.003807499999979</v>
      </c>
      <c r="C99">
        <f t="shared" si="10"/>
        <v>1140.0761499999996</v>
      </c>
      <c r="D99">
        <f>MATCH(B99,Battery!B:B,-1)</f>
        <v>17</v>
      </c>
      <c r="E99" cm="1">
        <f t="array" ref="E99">INDEX(Battery!C:C,D99+1)+(INDEX(Battery!C:C,D99)-INDEX(Battery!C:C,D99+1))/(INDEX(Battery!B:B,D99)-INDEX(Battery!C:C,B99+1))*(B99-INDEX(Battery!C:C,B99+1))</f>
        <v>3.8164566470566363</v>
      </c>
      <c r="F99">
        <f t="shared" si="7"/>
        <v>3.7549999999999999</v>
      </c>
      <c r="G99">
        <f>MATCH(F99,Load!C$3:C$15,1)</f>
        <v>7</v>
      </c>
      <c r="H99">
        <f t="shared" si="8"/>
        <v>90.518299999999996</v>
      </c>
      <c r="I99">
        <f t="shared" si="9"/>
        <v>9.051829999999967</v>
      </c>
    </row>
    <row r="100" spans="1:9" x14ac:dyDescent="0.3">
      <c r="A100">
        <v>9.6</v>
      </c>
      <c r="B100">
        <f t="shared" si="4"/>
        <v>56.551215999999997</v>
      </c>
      <c r="C100">
        <f t="shared" si="10"/>
        <v>1131.0243199999998</v>
      </c>
      <c r="D100">
        <f>MATCH(B100,Battery!B:B,-1)</f>
        <v>17</v>
      </c>
      <c r="E100" cm="1">
        <f t="array" ref="E100">INDEX(Battery!C:C,D100+1)+(INDEX(Battery!C:C,D100)-INDEX(Battery!C:C,D100+1))/(INDEX(Battery!B:B,D100)-INDEX(Battery!C:C,B100+1))*(B100-INDEX(Battery!C:C,B100+1))</f>
        <v>3.8162603405692774</v>
      </c>
      <c r="F100">
        <f t="shared" si="7"/>
        <v>3.7549999999999999</v>
      </c>
      <c r="G100">
        <f>MATCH(F100,Load!C$3:C$15,1)</f>
        <v>7</v>
      </c>
      <c r="H100">
        <f t="shared" si="8"/>
        <v>90.518299999999996</v>
      </c>
      <c r="I100">
        <f t="shared" ref="I100:I124" si="11">H100*(A101-A100)</f>
        <v>9.051829999999967</v>
      </c>
    </row>
    <row r="101" spans="1:9" x14ac:dyDescent="0.3">
      <c r="A101">
        <v>9.6999999999999993</v>
      </c>
      <c r="B101">
        <f t="shared" si="4"/>
        <v>56.098624499999993</v>
      </c>
      <c r="C101">
        <f t="shared" ref="C101:C124" si="12">C100-I100</f>
        <v>1121.9724899999999</v>
      </c>
      <c r="D101">
        <f>MATCH(B101,Battery!B:B,-1)</f>
        <v>17</v>
      </c>
      <c r="E101" cm="1">
        <f t="array" ref="E101">INDEX(Battery!C:C,D101+1)+(INDEX(Battery!C:C,D101)-INDEX(Battery!C:C,D101+1))/(INDEX(Battery!B:B,D101)-INDEX(Battery!C:C,B101+1))*(B101-INDEX(Battery!C:C,B101+1))</f>
        <v>3.8160640340819185</v>
      </c>
      <c r="F101">
        <f t="shared" si="7"/>
        <v>3.7549999999999999</v>
      </c>
      <c r="G101">
        <f>MATCH(F101,Load!C$3:C$15,1)</f>
        <v>7</v>
      </c>
      <c r="H101">
        <f t="shared" si="8"/>
        <v>90.518299999999996</v>
      </c>
      <c r="I101">
        <f t="shared" si="11"/>
        <v>9.0518300000001286</v>
      </c>
    </row>
    <row r="102" spans="1:9" x14ac:dyDescent="0.3">
      <c r="A102">
        <v>9.8000000000000007</v>
      </c>
      <c r="B102">
        <f t="shared" si="4"/>
        <v>55.646032999999981</v>
      </c>
      <c r="C102">
        <f t="shared" si="12"/>
        <v>1112.9206599999998</v>
      </c>
      <c r="D102">
        <f>MATCH(B102,Battery!B:B,-1)</f>
        <v>17</v>
      </c>
      <c r="E102" cm="1">
        <f t="array" ref="E102">INDEX(Battery!C:C,D102+1)+(INDEX(Battery!C:C,D102)-INDEX(Battery!C:C,D102+1))/(INDEX(Battery!B:B,D102)-INDEX(Battery!C:C,B102+1))*(B102-INDEX(Battery!C:C,B102+1))</f>
        <v>3.8158677275945601</v>
      </c>
      <c r="F102">
        <f t="shared" si="7"/>
        <v>3.7549999999999999</v>
      </c>
      <c r="G102">
        <f>MATCH(F102,Load!C$3:C$15,1)</f>
        <v>7</v>
      </c>
      <c r="H102">
        <f t="shared" si="8"/>
        <v>90.518299999999996</v>
      </c>
      <c r="I102">
        <f t="shared" si="11"/>
        <v>9.051829999999967</v>
      </c>
    </row>
    <row r="103" spans="1:9" x14ac:dyDescent="0.3">
      <c r="A103">
        <v>9.9</v>
      </c>
      <c r="B103">
        <f t="shared" si="4"/>
        <v>55.193441499999999</v>
      </c>
      <c r="C103">
        <f t="shared" si="12"/>
        <v>1103.8688299999999</v>
      </c>
      <c r="D103">
        <f>MATCH(B103,Battery!B:B,-1)</f>
        <v>18</v>
      </c>
      <c r="E103" cm="1">
        <f t="array" ref="E103">INDEX(Battery!C:C,D103+1)+(INDEX(Battery!C:C,D103)-INDEX(Battery!C:C,D103+1))/(INDEX(Battery!B:B,D103)-INDEX(Battery!C:C,B103+1))*(B103-INDEX(Battery!C:C,B103+1))</f>
        <v>3.7915699970505967</v>
      </c>
      <c r="F103">
        <f t="shared" si="7"/>
        <v>3.736569997050597</v>
      </c>
      <c r="G103">
        <f>MATCH(F103,Load!C$3:C$15,1)</f>
        <v>7</v>
      </c>
      <c r="H103">
        <f t="shared" si="8"/>
        <v>90.101781933343489</v>
      </c>
      <c r="I103">
        <f t="shared" si="11"/>
        <v>9.0101781933343172</v>
      </c>
    </row>
    <row r="104" spans="1:9" x14ac:dyDescent="0.3">
      <c r="A104">
        <v>10</v>
      </c>
      <c r="B104">
        <f t="shared" si="4"/>
        <v>54.742932590333282</v>
      </c>
      <c r="C104">
        <f t="shared" si="12"/>
        <v>1094.8586518066656</v>
      </c>
      <c r="D104">
        <f>MATCH(B104,Battery!B:B,-1)</f>
        <v>18</v>
      </c>
      <c r="E104" cm="1">
        <f t="array" ref="E104">INDEX(Battery!C:C,D104+1)+(INDEX(Battery!C:C,D104)-INDEX(Battery!C:C,D104+1))/(INDEX(Battery!B:B,D104)-INDEX(Battery!C:C,B104+1))*(B104-INDEX(Battery!C:C,B104+1))</f>
        <v>3.7914053348055723</v>
      </c>
      <c r="F104">
        <f t="shared" si="7"/>
        <v>3.7364053348055726</v>
      </c>
      <c r="G104">
        <f>MATCH(F104,Load!C$3:C$15,1)</f>
        <v>7</v>
      </c>
      <c r="H104">
        <f t="shared" si="8"/>
        <v>90.098060566605938</v>
      </c>
      <c r="I104">
        <f t="shared" si="11"/>
        <v>9.0098060566605618</v>
      </c>
    </row>
    <row r="105" spans="1:9" x14ac:dyDescent="0.3">
      <c r="A105">
        <v>10.1</v>
      </c>
      <c r="B105">
        <f t="shared" si="4"/>
        <v>54.292442287500251</v>
      </c>
      <c r="C105">
        <f t="shared" si="12"/>
        <v>1085.848845750005</v>
      </c>
      <c r="D105">
        <f>MATCH(B105,Battery!B:B,-1)</f>
        <v>18</v>
      </c>
      <c r="E105" cm="1">
        <f t="array" ref="E105">INDEX(Battery!C:C,D105+1)+(INDEX(Battery!C:C,D105)-INDEX(Battery!C:C,D105+1))/(INDEX(Battery!B:B,D105)-INDEX(Battery!C:C,B105+1))*(B105-INDEX(Battery!C:C,B105+1))</f>
        <v>3.7912406793613966</v>
      </c>
      <c r="F105">
        <f t="shared" si="7"/>
        <v>3.7362406793613969</v>
      </c>
      <c r="G105">
        <f>MATCH(F105,Load!C$3:C$15,1)</f>
        <v>7</v>
      </c>
      <c r="H105">
        <f t="shared" si="8"/>
        <v>90.094339353567577</v>
      </c>
      <c r="I105">
        <f t="shared" si="11"/>
        <v>9.009433935356725</v>
      </c>
    </row>
    <row r="106" spans="1:9" x14ac:dyDescent="0.3">
      <c r="A106">
        <v>10.199999999999999</v>
      </c>
      <c r="B106">
        <f t="shared" si="4"/>
        <v>53.841970590732416</v>
      </c>
      <c r="C106">
        <f t="shared" si="12"/>
        <v>1076.8394118146482</v>
      </c>
      <c r="D106">
        <f>MATCH(B106,Battery!B:B,-1)</f>
        <v>18</v>
      </c>
      <c r="E106" cm="1">
        <f t="array" ref="E106">INDEX(Battery!C:C,D106+1)+(INDEX(Battery!C:C,D106)-INDEX(Battery!C:C,D106+1))/(INDEX(Battery!B:B,D106)-INDEX(Battery!C:C,B106+1))*(B106-INDEX(Battery!C:C,B106+1))</f>
        <v>3.7910760307177886</v>
      </c>
      <c r="F106">
        <f t="shared" si="7"/>
        <v>3.7360760307177889</v>
      </c>
      <c r="G106">
        <f>MATCH(F106,Load!C$3:C$15,1)</f>
        <v>7</v>
      </c>
      <c r="H106">
        <f t="shared" si="8"/>
        <v>90.090618294222025</v>
      </c>
      <c r="I106">
        <f t="shared" si="11"/>
        <v>9.0090618294223308</v>
      </c>
    </row>
    <row r="107" spans="1:9" x14ac:dyDescent="0.3">
      <c r="A107">
        <v>10.3</v>
      </c>
      <c r="B107">
        <f t="shared" si="4"/>
        <v>53.391517499261298</v>
      </c>
      <c r="C107">
        <f t="shared" si="12"/>
        <v>1067.8303499852259</v>
      </c>
      <c r="D107">
        <f>MATCH(B107,Battery!B:B,-1)</f>
        <v>18</v>
      </c>
      <c r="E107" cm="1">
        <f t="array" ref="E107">INDEX(Battery!C:C,D107+1)+(INDEX(Battery!C:C,D107)-INDEX(Battery!C:C,D107+1))/(INDEX(Battery!B:B,D107)-INDEX(Battery!C:C,B107+1))*(B107-INDEX(Battery!C:C,B107+1))</f>
        <v>3.7909113888744681</v>
      </c>
      <c r="F107">
        <f t="shared" si="7"/>
        <v>3.7359113888744684</v>
      </c>
      <c r="G107">
        <f>MATCH(F107,Load!C$3:C$15,1)</f>
        <v>7</v>
      </c>
      <c r="H107">
        <f t="shared" si="8"/>
        <v>90.086897388562988</v>
      </c>
      <c r="I107">
        <f t="shared" si="11"/>
        <v>9.0086897388562672</v>
      </c>
    </row>
    <row r="108" spans="1:9" x14ac:dyDescent="0.3">
      <c r="A108">
        <v>10.4</v>
      </c>
      <c r="B108">
        <f t="shared" si="4"/>
        <v>52.941083012318479</v>
      </c>
      <c r="C108">
        <f t="shared" si="12"/>
        <v>1058.8216602463697</v>
      </c>
      <c r="D108">
        <f>MATCH(B108,Battery!B:B,-1)</f>
        <v>18</v>
      </c>
      <c r="E108" cm="1">
        <f t="array" ref="E108">INDEX(Battery!C:C,D108+1)+(INDEX(Battery!C:C,D108)-INDEX(Battery!C:C,D108+1))/(INDEX(Battery!B:B,D108)-INDEX(Battery!C:C,B108+1))*(B108-INDEX(Battery!C:C,B108+1))</f>
        <v>3.7907467538311539</v>
      </c>
      <c r="F108">
        <f t="shared" si="7"/>
        <v>3.7357467538311542</v>
      </c>
      <c r="G108">
        <f>MATCH(F108,Load!C$3:C$15,1)</f>
        <v>7</v>
      </c>
      <c r="H108">
        <f t="shared" si="8"/>
        <v>90.083176636584085</v>
      </c>
      <c r="I108">
        <f t="shared" si="11"/>
        <v>9.0083176636583762</v>
      </c>
    </row>
    <row r="109" spans="1:9" x14ac:dyDescent="0.3">
      <c r="A109">
        <v>10.5</v>
      </c>
      <c r="B109">
        <f t="shared" si="4"/>
        <v>52.490667129135574</v>
      </c>
      <c r="C109">
        <f t="shared" si="12"/>
        <v>1049.8133425827114</v>
      </c>
      <c r="D109">
        <f>MATCH(B109,Battery!B:B,-1)</f>
        <v>18</v>
      </c>
      <c r="E109" cm="1">
        <f t="array" ref="E109">INDEX(Battery!C:C,D109+1)+(INDEX(Battery!C:C,D109)-INDEX(Battery!C:C,D109+1))/(INDEX(Battery!B:B,D109)-INDEX(Battery!C:C,B109+1))*(B109-INDEX(Battery!C:C,B109+1))</f>
        <v>3.7905821255875649</v>
      </c>
      <c r="F109">
        <f t="shared" si="7"/>
        <v>3.7355821255875652</v>
      </c>
      <c r="G109">
        <f>MATCH(F109,Load!C$3:C$15,1)</f>
        <v>7</v>
      </c>
      <c r="H109">
        <f t="shared" si="8"/>
        <v>90.079456038278977</v>
      </c>
      <c r="I109">
        <f t="shared" si="11"/>
        <v>9.0079456038278654</v>
      </c>
    </row>
    <row r="110" spans="1:9" x14ac:dyDescent="0.3">
      <c r="A110">
        <v>10.6</v>
      </c>
      <c r="B110">
        <f t="shared" si="4"/>
        <v>52.040269848944178</v>
      </c>
      <c r="C110">
        <f t="shared" si="12"/>
        <v>1040.8053969788834</v>
      </c>
      <c r="D110">
        <f>MATCH(B110,Battery!B:B,-1)</f>
        <v>18</v>
      </c>
      <c r="E110" cm="1">
        <f t="array" ref="E110">INDEX(Battery!C:C,D110+1)+(INDEX(Battery!C:C,D110)-INDEX(Battery!C:C,D110+1))/(INDEX(Battery!B:B,D110)-INDEX(Battery!C:C,B110+1))*(B110-INDEX(Battery!C:C,B110+1))</f>
        <v>3.7904175041434205</v>
      </c>
      <c r="F110">
        <f t="shared" si="7"/>
        <v>3.7354175041434208</v>
      </c>
      <c r="G110">
        <f>MATCH(F110,Load!C$3:C$15,1)</f>
        <v>7</v>
      </c>
      <c r="H110">
        <f t="shared" si="8"/>
        <v>90.075735593641312</v>
      </c>
      <c r="I110">
        <f t="shared" si="11"/>
        <v>9.0075735593640989</v>
      </c>
    </row>
    <row r="111" spans="1:9" x14ac:dyDescent="0.3">
      <c r="A111">
        <v>10.7</v>
      </c>
      <c r="B111">
        <f t="shared" si="4"/>
        <v>51.589891170975967</v>
      </c>
      <c r="C111">
        <f t="shared" si="12"/>
        <v>1031.7978234195193</v>
      </c>
      <c r="D111">
        <f>MATCH(B111,Battery!B:B,-1)</f>
        <v>18</v>
      </c>
      <c r="E111" cm="1">
        <f t="array" ref="E111">INDEX(Battery!C:C,D111+1)+(INDEX(Battery!C:C,D111)-INDEX(Battery!C:C,D111+1))/(INDEX(Battery!B:B,D111)-INDEX(Battery!C:C,B111+1))*(B111-INDEX(Battery!C:C,B111+1))</f>
        <v>3.79025288949844</v>
      </c>
      <c r="F111">
        <f t="shared" si="7"/>
        <v>3.7352528894984403</v>
      </c>
      <c r="G111">
        <f>MATCH(F111,Load!C$3:C$15,1)</f>
        <v>7</v>
      </c>
      <c r="H111">
        <f t="shared" si="8"/>
        <v>90.072015302664752</v>
      </c>
      <c r="I111">
        <f t="shared" si="11"/>
        <v>9.0072015302666024</v>
      </c>
    </row>
    <row r="112" spans="1:9" x14ac:dyDescent="0.3">
      <c r="A112">
        <v>10.8</v>
      </c>
      <c r="B112">
        <f t="shared" si="4"/>
        <v>51.13953109446264</v>
      </c>
      <c r="C112">
        <f t="shared" si="12"/>
        <v>1022.7906218892527</v>
      </c>
      <c r="D112">
        <f>MATCH(B112,Battery!B:B,-1)</f>
        <v>18</v>
      </c>
      <c r="E112" cm="1">
        <f t="array" ref="E112">INDEX(Battery!C:C,D112+1)+(INDEX(Battery!C:C,D112)-INDEX(Battery!C:C,D112+1))/(INDEX(Battery!B:B,D112)-INDEX(Battery!C:C,B112+1))*(B112-INDEX(Battery!C:C,B112+1))</f>
        <v>3.7900882816523418</v>
      </c>
      <c r="F112">
        <f t="shared" si="7"/>
        <v>3.7350882816523421</v>
      </c>
      <c r="G112">
        <f>MATCH(F112,Load!C$3:C$15,1)</f>
        <v>7</v>
      </c>
      <c r="H112">
        <f t="shared" si="8"/>
        <v>90.068295165342931</v>
      </c>
      <c r="I112">
        <f t="shared" si="11"/>
        <v>9.0068295165342604</v>
      </c>
    </row>
    <row r="113" spans="1:9" x14ac:dyDescent="0.3">
      <c r="A113">
        <v>10.9</v>
      </c>
      <c r="B113">
        <f t="shared" si="4"/>
        <v>50.689189618635922</v>
      </c>
      <c r="C113">
        <f t="shared" si="12"/>
        <v>1013.7837923727185</v>
      </c>
      <c r="D113">
        <f>MATCH(B113,Battery!B:B,-1)</f>
        <v>18</v>
      </c>
      <c r="E113" cm="1">
        <f t="array" ref="E113">INDEX(Battery!C:C,D113+1)+(INDEX(Battery!C:C,D113)-INDEX(Battery!C:C,D113+1))/(INDEX(Battery!B:B,D113)-INDEX(Battery!C:C,B113+1))*(B113-INDEX(Battery!C:C,B113+1))</f>
        <v>3.7899236806048462</v>
      </c>
      <c r="F113">
        <f t="shared" si="7"/>
        <v>3.7349236806048465</v>
      </c>
      <c r="G113">
        <f>MATCH(F113,Load!C$3:C$15,1)</f>
        <v>7</v>
      </c>
      <c r="H113">
        <f t="shared" si="8"/>
        <v>90.064575181669539</v>
      </c>
      <c r="I113">
        <f t="shared" si="11"/>
        <v>9.006457518166922</v>
      </c>
    </row>
    <row r="114" spans="1:9" x14ac:dyDescent="0.3">
      <c r="A114">
        <v>11</v>
      </c>
      <c r="B114">
        <f t="shared" si="4"/>
        <v>50.238866742727573</v>
      </c>
      <c r="C114">
        <f t="shared" si="12"/>
        <v>1004.7773348545516</v>
      </c>
      <c r="D114">
        <f>MATCH(B114,Battery!B:B,-1)</f>
        <v>19</v>
      </c>
      <c r="E114" cm="1">
        <f t="array" ref="E114">INDEX(Battery!C:C,D114+1)+(INDEX(Battery!C:C,D114)-INDEX(Battery!C:C,D114+1))/(INDEX(Battery!B:B,D114)-INDEX(Battery!C:C,B114+1))*(B114-INDEX(Battery!C:C,B114+1))</f>
        <v>3.7713902980379914</v>
      </c>
      <c r="F114">
        <f t="shared" si="7"/>
        <v>3.7163902980379917</v>
      </c>
      <c r="G114">
        <f>MATCH(F114,Load!C$3:C$15,1)</f>
        <v>7</v>
      </c>
      <c r="H114">
        <f t="shared" si="8"/>
        <v>89.645720735658614</v>
      </c>
      <c r="I114">
        <f t="shared" si="11"/>
        <v>8.9645720735658294</v>
      </c>
    </row>
    <row r="115" spans="1:9" x14ac:dyDescent="0.3">
      <c r="A115">
        <v>11.1</v>
      </c>
      <c r="B115">
        <f t="shared" si="4"/>
        <v>49.790638139049285</v>
      </c>
      <c r="C115">
        <f t="shared" si="12"/>
        <v>995.81276278098574</v>
      </c>
      <c r="D115">
        <f>MATCH(B115,Battery!B:B,-1)</f>
        <v>19</v>
      </c>
      <c r="E115" cm="1">
        <f t="array" ref="E115">INDEX(Battery!C:C,D115+1)+(INDEX(Battery!C:C,D115)-INDEX(Battery!C:C,D115+1))/(INDEX(Battery!B:B,D115)-INDEX(Battery!C:C,B115+1))*(B115-INDEX(Battery!C:C,B115+1))</f>
        <v>3.7712089251805421</v>
      </c>
      <c r="F115">
        <f t="shared" si="7"/>
        <v>3.7162089251805424</v>
      </c>
      <c r="G115">
        <f>MATCH(F115,Load!C$3:C$15,1)</f>
        <v>7</v>
      </c>
      <c r="H115">
        <f t="shared" si="8"/>
        <v>89.641621709080255</v>
      </c>
      <c r="I115">
        <f t="shared" si="11"/>
        <v>8.9641621709079935</v>
      </c>
    </row>
    <row r="116" spans="1:9" x14ac:dyDescent="0.3">
      <c r="A116">
        <v>11.2</v>
      </c>
      <c r="B116">
        <f t="shared" si="4"/>
        <v>49.342430030503884</v>
      </c>
      <c r="C116">
        <f t="shared" si="12"/>
        <v>986.84860061007771</v>
      </c>
      <c r="D116">
        <f>MATCH(B116,Battery!B:B,-1)</f>
        <v>19</v>
      </c>
      <c r="E116" cm="1">
        <f t="array" ref="E116">INDEX(Battery!C:C,D116+1)+(INDEX(Battery!C:C,D116)-INDEX(Battery!C:C,D116+1))/(INDEX(Battery!B:B,D116)-INDEX(Battery!C:C,B116+1))*(B116-INDEX(Battery!C:C,B116+1))</f>
        <v>3.7710275606163184</v>
      </c>
      <c r="F116">
        <f t="shared" si="7"/>
        <v>3.7160275606163187</v>
      </c>
      <c r="G116">
        <f>MATCH(F116,Load!C$3:C$15,1)</f>
        <v>7</v>
      </c>
      <c r="H116">
        <f t="shared" si="8"/>
        <v>89.637522869928802</v>
      </c>
      <c r="I116">
        <f t="shared" si="11"/>
        <v>8.9637522869930084</v>
      </c>
    </row>
    <row r="117" spans="1:9" x14ac:dyDescent="0.3">
      <c r="A117">
        <v>11.3</v>
      </c>
      <c r="B117">
        <f t="shared" si="4"/>
        <v>48.894242416154235</v>
      </c>
      <c r="C117">
        <f t="shared" si="12"/>
        <v>977.88484832308473</v>
      </c>
      <c r="D117">
        <f>MATCH(B117,Battery!B:B,-1)</f>
        <v>19</v>
      </c>
      <c r="E117" cm="1">
        <f t="array" ref="E117">INDEX(Battery!C:C,D117+1)+(INDEX(Battery!C:C,D117)-INDEX(Battery!C:C,D117+1))/(INDEX(Battery!B:B,D117)-INDEX(Battery!C:C,B117+1))*(B117-INDEX(Battery!C:C,B117+1))</f>
        <v>3.7708462043449407</v>
      </c>
      <c r="F117">
        <f t="shared" si="7"/>
        <v>3.715846204344941</v>
      </c>
      <c r="G117">
        <f>MATCH(F117,Load!C$3:C$15,1)</f>
        <v>7</v>
      </c>
      <c r="H117">
        <f t="shared" si="8"/>
        <v>89.633424218195671</v>
      </c>
      <c r="I117">
        <f t="shared" si="11"/>
        <v>8.9633424218195348</v>
      </c>
    </row>
    <row r="118" spans="1:9" x14ac:dyDescent="0.3">
      <c r="A118">
        <v>11.4</v>
      </c>
      <c r="B118">
        <f t="shared" si="4"/>
        <v>48.44607529506326</v>
      </c>
      <c r="C118">
        <f t="shared" si="12"/>
        <v>968.92150590126516</v>
      </c>
      <c r="D118">
        <f>MATCH(B118,Battery!B:B,-1)</f>
        <v>19</v>
      </c>
      <c r="E118" cm="1">
        <f t="array" ref="E118">INDEX(Battery!C:C,D118+1)+(INDEX(Battery!C:C,D118)-INDEX(Battery!C:C,D118+1))/(INDEX(Battery!B:B,D118)-INDEX(Battery!C:C,B118+1))*(B118-INDEX(Battery!C:C,B118+1))</f>
        <v>3.7706648563660297</v>
      </c>
      <c r="F118">
        <f t="shared" si="7"/>
        <v>3.7156648563660299</v>
      </c>
      <c r="G118">
        <f>MATCH(F118,Load!C$3:C$15,1)</f>
        <v>7</v>
      </c>
      <c r="H118">
        <f t="shared" si="8"/>
        <v>89.62932575387228</v>
      </c>
      <c r="I118">
        <f t="shared" si="11"/>
        <v>8.962932575387196</v>
      </c>
    </row>
    <row r="119" spans="1:9" x14ac:dyDescent="0.3">
      <c r="A119">
        <v>11.5</v>
      </c>
      <c r="B119">
        <f t="shared" si="4"/>
        <v>47.997928666293902</v>
      </c>
      <c r="C119">
        <f t="shared" si="12"/>
        <v>959.95857332587798</v>
      </c>
      <c r="D119">
        <f>MATCH(B119,Battery!B:B,-1)</f>
        <v>19</v>
      </c>
      <c r="E119" cm="1">
        <f t="array" ref="E119">INDEX(Battery!C:C,D119+1)+(INDEX(Battery!C:C,D119)-INDEX(Battery!C:C,D119+1))/(INDEX(Battery!B:B,D119)-INDEX(Battery!C:C,B119+1))*(B119-INDEX(Battery!C:C,B119+1))</f>
        <v>3.770483516679207</v>
      </c>
      <c r="F119">
        <f t="shared" si="7"/>
        <v>3.7154835166792073</v>
      </c>
      <c r="G119">
        <f>MATCH(F119,Load!C$3:C$15,1)</f>
        <v>7</v>
      </c>
      <c r="H119">
        <f t="shared" si="8"/>
        <v>89.625227476950087</v>
      </c>
      <c r="I119">
        <f t="shared" si="11"/>
        <v>8.962522747694976</v>
      </c>
    </row>
    <row r="120" spans="1:9" x14ac:dyDescent="0.3">
      <c r="A120">
        <v>11.6</v>
      </c>
      <c r="B120">
        <f t="shared" si="4"/>
        <v>47.549802528909154</v>
      </c>
      <c r="C120">
        <f t="shared" si="12"/>
        <v>950.99605057818303</v>
      </c>
      <c r="D120">
        <f>MATCH(B120,Battery!B:B,-1)</f>
        <v>19</v>
      </c>
      <c r="E120" cm="1">
        <f t="array" ref="E120">INDEX(Battery!C:C,D120+1)+(INDEX(Battery!C:C,D120)-INDEX(Battery!C:C,D120+1))/(INDEX(Battery!B:B,D120)-INDEX(Battery!C:C,B120+1))*(B120-INDEX(Battery!C:C,B120+1))</f>
        <v>3.7703021852840926</v>
      </c>
      <c r="F120">
        <f t="shared" si="7"/>
        <v>3.7153021852840928</v>
      </c>
      <c r="G120">
        <f>MATCH(F120,Load!C$3:C$15,1)</f>
        <v>7</v>
      </c>
      <c r="H120">
        <f t="shared" si="8"/>
        <v>89.621129387420496</v>
      </c>
      <c r="I120">
        <f t="shared" si="11"/>
        <v>8.9621129387420169</v>
      </c>
    </row>
    <row r="121" spans="1:9" x14ac:dyDescent="0.3">
      <c r="A121">
        <v>11.7</v>
      </c>
      <c r="B121">
        <f t="shared" si="4"/>
        <v>47.101696881972046</v>
      </c>
      <c r="C121">
        <f t="shared" si="12"/>
        <v>942.03393763944098</v>
      </c>
      <c r="D121">
        <f>MATCH(B121,Battery!B:B,-1)</f>
        <v>19</v>
      </c>
      <c r="E121" cm="1">
        <f t="array" ref="E121">INDEX(Battery!C:C,D121+1)+(INDEX(Battery!C:C,D121)-INDEX(Battery!C:C,D121+1))/(INDEX(Battery!B:B,D121)-INDEX(Battery!C:C,B121+1))*(B121-INDEX(Battery!C:C,B121+1))</f>
        <v>3.770120862180308</v>
      </c>
      <c r="F121">
        <f t="shared" si="7"/>
        <v>3.7151208621803082</v>
      </c>
      <c r="G121">
        <f>MATCH(F121,Load!C$3:C$15,1)</f>
        <v>7</v>
      </c>
      <c r="H121">
        <f t="shared" si="8"/>
        <v>89.617031485274964</v>
      </c>
      <c r="I121">
        <f t="shared" si="11"/>
        <v>8.961703148527624</v>
      </c>
    </row>
    <row r="122" spans="1:9" x14ac:dyDescent="0.3">
      <c r="A122">
        <v>11.8</v>
      </c>
      <c r="B122">
        <f t="shared" si="4"/>
        <v>46.653611724545669</v>
      </c>
      <c r="C122">
        <f t="shared" si="12"/>
        <v>933.07223449091339</v>
      </c>
      <c r="D122">
        <f>MATCH(B122,Battery!B:B,-1)</f>
        <v>19</v>
      </c>
      <c r="E122" cm="1">
        <f t="array" ref="E122">INDEX(Battery!C:C,D122+1)+(INDEX(Battery!C:C,D122)-INDEX(Battery!C:C,D122+1))/(INDEX(Battery!B:B,D122)-INDEX(Battery!C:C,B122+1))*(B122-INDEX(Battery!C:C,B122+1))</f>
        <v>3.7699395473674735</v>
      </c>
      <c r="F122">
        <f t="shared" si="7"/>
        <v>3.7149395473674738</v>
      </c>
      <c r="G122">
        <f>MATCH(F122,Load!C$3:C$15,1)</f>
        <v>7</v>
      </c>
      <c r="H122">
        <f t="shared" si="8"/>
        <v>89.61293377050491</v>
      </c>
      <c r="I122">
        <f t="shared" si="11"/>
        <v>8.9612933770504597</v>
      </c>
    </row>
    <row r="123" spans="1:9" x14ac:dyDescent="0.3">
      <c r="A123">
        <v>11.9</v>
      </c>
      <c r="B123">
        <f t="shared" si="4"/>
        <v>46.205547055693145</v>
      </c>
      <c r="C123">
        <f t="shared" si="12"/>
        <v>924.11094111386296</v>
      </c>
      <c r="D123">
        <f>MATCH(B123,Battery!B:B,-1)</f>
        <v>19</v>
      </c>
      <c r="E123" cm="1">
        <f t="array" ref="E123">INDEX(Battery!C:C,D123+1)+(INDEX(Battery!C:C,D123)-INDEX(Battery!C:C,D123+1))/(INDEX(Battery!B:B,D123)-INDEX(Battery!C:C,B123+1))*(B123-INDEX(Battery!C:C,B123+1))</f>
        <v>3.7697582408452104</v>
      </c>
      <c r="F123">
        <f t="shared" si="7"/>
        <v>3.7147582408452107</v>
      </c>
      <c r="G123">
        <f>MATCH(F123,Load!C$3:C$15,1)</f>
        <v>7</v>
      </c>
      <c r="H123">
        <f t="shared" si="8"/>
        <v>89.608836243101763</v>
      </c>
      <c r="I123">
        <f t="shared" si="11"/>
        <v>8.960883624310144</v>
      </c>
    </row>
    <row r="124" spans="1:9" x14ac:dyDescent="0.3">
      <c r="A124">
        <v>12</v>
      </c>
      <c r="B124">
        <f t="shared" si="4"/>
        <v>45.757502874477645</v>
      </c>
      <c r="C124">
        <f t="shared" si="12"/>
        <v>915.15005748955286</v>
      </c>
      <c r="D124">
        <f>MATCH(B124,Battery!B:B,-1)</f>
        <v>19</v>
      </c>
      <c r="E124" cm="1">
        <f t="array" ref="E124">INDEX(Battery!C:C,D124+1)+(INDEX(Battery!C:C,D124)-INDEX(Battery!C:C,D124+1))/(INDEX(Battery!B:B,D124)-INDEX(Battery!C:C,B124+1))*(B124-INDEX(Battery!C:C,B124+1))</f>
        <v>3.7695769426131394</v>
      </c>
      <c r="F124">
        <f t="shared" si="7"/>
        <v>3.7145769426131396</v>
      </c>
      <c r="G124">
        <f>MATCH(F124,Load!C$3:C$15,1)</f>
        <v>7</v>
      </c>
      <c r="H124">
        <f t="shared" si="8"/>
        <v>89.604738903056955</v>
      </c>
      <c r="I124">
        <f t="shared" si="11"/>
        <v>8.9604738903056642</v>
      </c>
    </row>
    <row r="125" spans="1:9" x14ac:dyDescent="0.3">
      <c r="A125">
        <v>12.1</v>
      </c>
      <c r="B125">
        <f t="shared" si="4"/>
        <v>45.309479179962359</v>
      </c>
      <c r="C125">
        <f t="shared" ref="C125:C184" si="13">C124-I124</f>
        <v>906.18958359924716</v>
      </c>
      <c r="D125">
        <f>MATCH(B125,Battery!B:B,-1)</f>
        <v>19</v>
      </c>
      <c r="E125" cm="1">
        <f t="array" ref="E125">INDEX(Battery!C:C,D125+1)+(INDEX(Battery!C:C,D125)-INDEX(Battery!C:C,D125+1))/(INDEX(Battery!B:B,D125)-INDEX(Battery!C:C,B125+1))*(B125-INDEX(Battery!C:C,B125+1))</f>
        <v>3.7693956526708812</v>
      </c>
      <c r="F125">
        <f t="shared" si="7"/>
        <v>3.7143956526708815</v>
      </c>
      <c r="G125">
        <f>MATCH(F125,Load!C$3:C$15,1)</f>
        <v>7</v>
      </c>
      <c r="H125">
        <f t="shared" si="8"/>
        <v>89.600641750361916</v>
      </c>
      <c r="I125">
        <f t="shared" ref="I125:I184" si="14">H125*(A126-A125)</f>
        <v>8.9600641750361589</v>
      </c>
    </row>
    <row r="126" spans="1:9" x14ac:dyDescent="0.3">
      <c r="A126">
        <v>12.2</v>
      </c>
      <c r="B126">
        <f t="shared" si="4"/>
        <v>44.861475971210552</v>
      </c>
      <c r="C126">
        <f t="shared" si="13"/>
        <v>897.22951942421105</v>
      </c>
      <c r="D126">
        <f>MATCH(B126,Battery!B:B,-1)</f>
        <v>19</v>
      </c>
      <c r="E126" cm="1">
        <f t="array" ref="E126">INDEX(Battery!C:C,D126+1)+(INDEX(Battery!C:C,D126)-INDEX(Battery!C:C,D126+1))/(INDEX(Battery!B:B,D126)-INDEX(Battery!C:C,B126+1))*(B126-INDEX(Battery!C:C,B126+1))</f>
        <v>3.7692143710180575</v>
      </c>
      <c r="F126">
        <f t="shared" si="7"/>
        <v>3.7142143710180577</v>
      </c>
      <c r="G126">
        <f>MATCH(F126,Load!C$3:C$15,1)</f>
        <v>7</v>
      </c>
      <c r="H126">
        <f t="shared" si="8"/>
        <v>89.596544785008106</v>
      </c>
      <c r="I126">
        <f t="shared" si="14"/>
        <v>8.9596544785009371</v>
      </c>
    </row>
    <row r="127" spans="1:9" x14ac:dyDescent="0.3">
      <c r="A127">
        <v>12.3</v>
      </c>
      <c r="B127">
        <f t="shared" si="4"/>
        <v>44.413493247285501</v>
      </c>
      <c r="C127">
        <f t="shared" si="13"/>
        <v>888.26986494571008</v>
      </c>
      <c r="D127">
        <f>MATCH(B127,Battery!B:B,-1)</f>
        <v>19</v>
      </c>
      <c r="E127" cm="1">
        <f t="array" ref="E127">INDEX(Battery!C:C,D127+1)+(INDEX(Battery!C:C,D127)-INDEX(Battery!C:C,D127+1))/(INDEX(Battery!B:B,D127)-INDEX(Battery!C:C,B127+1))*(B127-INDEX(Battery!C:C,B127+1))</f>
        <v>3.769033097654289</v>
      </c>
      <c r="F127">
        <f t="shared" si="7"/>
        <v>3.7140330976542892</v>
      </c>
      <c r="G127">
        <f>MATCH(F127,Load!C$3:C$15,1)</f>
        <v>7</v>
      </c>
      <c r="H127">
        <f t="shared" si="8"/>
        <v>89.592448006986942</v>
      </c>
      <c r="I127">
        <f t="shared" si="14"/>
        <v>8.9592448006986629</v>
      </c>
    </row>
    <row r="128" spans="1:9" x14ac:dyDescent="0.3">
      <c r="A128">
        <v>12.4</v>
      </c>
      <c r="B128">
        <f t="shared" si="4"/>
        <v>43.965531007250569</v>
      </c>
      <c r="C128">
        <f t="shared" si="13"/>
        <v>879.3106201450114</v>
      </c>
      <c r="D128">
        <f>MATCH(B128,Battery!B:B,-1)</f>
        <v>19</v>
      </c>
      <c r="E128" cm="1">
        <f t="array" ref="E128">INDEX(Battery!C:C,D128+1)+(INDEX(Battery!C:C,D128)-INDEX(Battery!C:C,D128+1))/(INDEX(Battery!B:B,D128)-INDEX(Battery!C:C,B128+1))*(B128-INDEX(Battery!C:C,B128+1))</f>
        <v>3.768851832579196</v>
      </c>
      <c r="F128">
        <f t="shared" si="7"/>
        <v>3.7138518325791963</v>
      </c>
      <c r="G128">
        <f>MATCH(F128,Load!C$3:C$15,1)</f>
        <v>7</v>
      </c>
      <c r="H128">
        <f t="shared" si="8"/>
        <v>89.588351416289839</v>
      </c>
      <c r="I128">
        <f t="shared" si="14"/>
        <v>8.9588351416289527</v>
      </c>
    </row>
    <row r="129" spans="1:9" x14ac:dyDescent="0.3">
      <c r="A129">
        <v>12.5</v>
      </c>
      <c r="B129">
        <f t="shared" si="4"/>
        <v>43.517589250169124</v>
      </c>
      <c r="C129">
        <f t="shared" si="13"/>
        <v>870.35178500338247</v>
      </c>
      <c r="D129">
        <f>MATCH(B129,Battery!B:B,-1)</f>
        <v>20</v>
      </c>
      <c r="E129" cm="1">
        <f t="array" ref="E129">INDEX(Battery!C:C,D129+1)+(INDEX(Battery!C:C,D129)-INDEX(Battery!C:C,D129+1))/(INDEX(Battery!B:B,D129)-INDEX(Battery!C:C,B129+1))*(B129-INDEX(Battery!C:C,B129+1))</f>
        <v>3.7509929277072271</v>
      </c>
      <c r="F129">
        <f t="shared" si="7"/>
        <v>3.6959929277072274</v>
      </c>
      <c r="G129">
        <f>MATCH(F129,Load!C$3:C$15,1)</f>
        <v>6</v>
      </c>
      <c r="H129">
        <f t="shared" si="8"/>
        <v>89.184740166183346</v>
      </c>
      <c r="I129">
        <f t="shared" si="14"/>
        <v>8.918474016618303</v>
      </c>
    </row>
    <row r="130" spans="1:9" x14ac:dyDescent="0.3">
      <c r="A130">
        <v>12.6</v>
      </c>
      <c r="B130">
        <f t="shared" si="4"/>
        <v>43.071665549338206</v>
      </c>
      <c r="C130">
        <f t="shared" si="13"/>
        <v>861.43331098676413</v>
      </c>
      <c r="D130">
        <f>MATCH(B130,Battery!B:B,-1)</f>
        <v>20</v>
      </c>
      <c r="E130" cm="1">
        <f t="array" ref="E130">INDEX(Battery!C:C,D130+1)+(INDEX(Battery!C:C,D130)-INDEX(Battery!C:C,D130+1))/(INDEX(Battery!B:B,D130)-INDEX(Battery!C:C,B130+1))*(B130-INDEX(Battery!C:C,B130+1))</f>
        <v>3.7508333420642184</v>
      </c>
      <c r="F130">
        <f t="shared" si="7"/>
        <v>3.6958333420642187</v>
      </c>
      <c r="G130">
        <f>MATCH(F130,Load!C$3:C$15,1)</f>
        <v>6</v>
      </c>
      <c r="H130">
        <f t="shared" si="8"/>
        <v>89.181133530651337</v>
      </c>
      <c r="I130">
        <f t="shared" si="14"/>
        <v>8.9181133530651024</v>
      </c>
    </row>
    <row r="131" spans="1:9" x14ac:dyDescent="0.3">
      <c r="A131">
        <v>12.7</v>
      </c>
      <c r="B131">
        <f t="shared" si="4"/>
        <v>42.625759881684949</v>
      </c>
      <c r="C131">
        <f t="shared" si="13"/>
        <v>852.51519763369902</v>
      </c>
      <c r="D131">
        <f>MATCH(B131,Battery!B:B,-1)</f>
        <v>20</v>
      </c>
      <c r="E131" cm="1">
        <f t="array" ref="E131">INDEX(Battery!C:C,D131+1)+(INDEX(Battery!C:C,D131)-INDEX(Battery!C:C,D131+1))/(INDEX(Battery!B:B,D131)-INDEX(Battery!C:C,B131+1))*(B131-INDEX(Battery!C:C,B131+1))</f>
        <v>3.7506737628748614</v>
      </c>
      <c r="F131">
        <f t="shared" si="7"/>
        <v>3.6956737628748617</v>
      </c>
      <c r="G131">
        <f>MATCH(F131,Load!C$3:C$15,1)</f>
        <v>6</v>
      </c>
      <c r="H131">
        <f t="shared" si="8"/>
        <v>89.177527040971881</v>
      </c>
      <c r="I131">
        <f t="shared" si="14"/>
        <v>8.9177527040973157</v>
      </c>
    </row>
    <row r="132" spans="1:9" x14ac:dyDescent="0.3">
      <c r="A132">
        <v>12.8</v>
      </c>
      <c r="B132">
        <f t="shared" si="4"/>
        <v>42.17987224648008</v>
      </c>
      <c r="C132">
        <f t="shared" si="13"/>
        <v>843.59744492960169</v>
      </c>
      <c r="D132">
        <f>MATCH(B132,Battery!B:B,-1)</f>
        <v>20</v>
      </c>
      <c r="E132" cm="1">
        <f t="array" ref="E132">INDEX(Battery!C:C,D132+1)+(INDEX(Battery!C:C,D132)-INDEX(Battery!C:C,D132+1))/(INDEX(Battery!B:B,D132)-INDEX(Battery!C:C,B132+1))*(B132-INDEX(Battery!C:C,B132+1))</f>
        <v>3.7505141901388952</v>
      </c>
      <c r="F132">
        <f t="shared" ref="F132:F195" si="15">MIN($K$3,E132-$L$3)-$M$3</f>
        <v>3.6955141901388955</v>
      </c>
      <c r="G132">
        <f>MATCH(F132,Load!C$3:C$15,1)</f>
        <v>6</v>
      </c>
      <c r="H132">
        <f t="shared" ref="H132:H195" si="16" xml:space="preserve"> 22.6* F132+ 5.5703+$N$3*0.001</f>
        <v>89.173920697139039</v>
      </c>
      <c r="I132">
        <f t="shared" si="14"/>
        <v>8.9173920697138715</v>
      </c>
    </row>
    <row r="133" spans="1:9" x14ac:dyDescent="0.3">
      <c r="A133">
        <v>12.9</v>
      </c>
      <c r="B133">
        <f t="shared" si="4"/>
        <v>41.734002642994398</v>
      </c>
      <c r="C133">
        <f t="shared" si="13"/>
        <v>834.68005285988784</v>
      </c>
      <c r="D133">
        <f>MATCH(B133,Battery!B:B,-1)</f>
        <v>20</v>
      </c>
      <c r="E133" cm="1">
        <f t="array" ref="E133">INDEX(Battery!C:C,D133+1)+(INDEX(Battery!C:C,D133)-INDEX(Battery!C:C,D133+1))/(INDEX(Battery!B:B,D133)-INDEX(Battery!C:C,B133+1))*(B133-INDEX(Battery!C:C,B133+1))</f>
        <v>3.7503546238560586</v>
      </c>
      <c r="F133">
        <f t="shared" si="15"/>
        <v>3.6953546238560588</v>
      </c>
      <c r="G133">
        <f>MATCH(F133,Load!C$3:C$15,1)</f>
        <v>6</v>
      </c>
      <c r="H133">
        <f t="shared" si="16"/>
        <v>89.170314499146926</v>
      </c>
      <c r="I133">
        <f t="shared" si="14"/>
        <v>8.9170314499146617</v>
      </c>
    </row>
    <row r="134" spans="1:9" x14ac:dyDescent="0.3">
      <c r="A134">
        <v>13</v>
      </c>
      <c r="B134">
        <f t="shared" si="4"/>
        <v>41.288151070498657</v>
      </c>
      <c r="C134">
        <f t="shared" si="13"/>
        <v>825.76302140997313</v>
      </c>
      <c r="D134">
        <f>MATCH(B134,Battery!B:B,-1)</f>
        <v>20</v>
      </c>
      <c r="E134" cm="1">
        <f t="array" ref="E134">INDEX(Battery!C:C,D134+1)+(INDEX(Battery!C:C,D134)-INDEX(Battery!C:C,D134+1))/(INDEX(Battery!B:B,D134)-INDEX(Battery!C:C,B134+1))*(B134-INDEX(Battery!C:C,B134+1))</f>
        <v>3.7501950640260908</v>
      </c>
      <c r="F134">
        <f t="shared" si="15"/>
        <v>3.6951950640260911</v>
      </c>
      <c r="G134">
        <f>MATCH(F134,Load!C$3:C$15,1)</f>
        <v>6</v>
      </c>
      <c r="H134">
        <f t="shared" si="16"/>
        <v>89.166708446989659</v>
      </c>
      <c r="I134">
        <f t="shared" si="14"/>
        <v>8.9166708446989347</v>
      </c>
    </row>
    <row r="135" spans="1:9" x14ac:dyDescent="0.3">
      <c r="A135">
        <v>13.1</v>
      </c>
      <c r="B135">
        <f t="shared" si="4"/>
        <v>40.842317528263713</v>
      </c>
      <c r="C135">
        <f t="shared" si="13"/>
        <v>816.84635056527418</v>
      </c>
      <c r="D135">
        <f>MATCH(B135,Battery!B:B,-1)</f>
        <v>20</v>
      </c>
      <c r="E135" cm="1">
        <f t="array" ref="E135">INDEX(Battery!C:C,D135+1)+(INDEX(Battery!C:C,D135)-INDEX(Battery!C:C,D135+1))/(INDEX(Battery!B:B,D135)-INDEX(Battery!C:C,B135+1))*(B135-INDEX(Battery!C:C,B135+1))</f>
        <v>3.749960175270449</v>
      </c>
      <c r="F135">
        <f t="shared" si="15"/>
        <v>3.6949601752704493</v>
      </c>
      <c r="G135">
        <f>MATCH(F135,Load!C$3:C$15,1)</f>
        <v>6</v>
      </c>
      <c r="H135">
        <f t="shared" si="16"/>
        <v>89.161399961112153</v>
      </c>
      <c r="I135">
        <f t="shared" si="14"/>
        <v>8.916139996111184</v>
      </c>
    </row>
    <row r="136" spans="1:9" x14ac:dyDescent="0.3">
      <c r="A136">
        <v>13.2</v>
      </c>
      <c r="B136">
        <f t="shared" si="4"/>
        <v>40.396510528458151</v>
      </c>
      <c r="C136">
        <f t="shared" si="13"/>
        <v>807.93021056916302</v>
      </c>
      <c r="D136">
        <f>MATCH(B136,Battery!B:B,-1)</f>
        <v>20</v>
      </c>
      <c r="E136" cm="1">
        <f t="array" ref="E136">INDEX(Battery!C:C,D136+1)+(INDEX(Battery!C:C,D136)-INDEX(Battery!C:C,D136+1))/(INDEX(Battery!B:B,D136)-INDEX(Battery!C:C,B136+1))*(B136-INDEX(Battery!C:C,B136+1))</f>
        <v>3.7497889160945905</v>
      </c>
      <c r="F136">
        <f t="shared" si="15"/>
        <v>3.6947889160945908</v>
      </c>
      <c r="G136">
        <f>MATCH(F136,Load!C$3:C$15,1)</f>
        <v>6</v>
      </c>
      <c r="H136">
        <f t="shared" si="16"/>
        <v>89.157529503737749</v>
      </c>
      <c r="I136">
        <f t="shared" si="14"/>
        <v>8.9157529503739017</v>
      </c>
    </row>
    <row r="137" spans="1:9" x14ac:dyDescent="0.3">
      <c r="A137">
        <v>13.3</v>
      </c>
      <c r="B137">
        <f t="shared" si="4"/>
        <v>39.950722880939459</v>
      </c>
      <c r="C137">
        <f t="shared" si="13"/>
        <v>799.01445761878915</v>
      </c>
      <c r="D137">
        <f>MATCH(B137,Battery!B:B,-1)</f>
        <v>20</v>
      </c>
      <c r="E137" cm="1">
        <f t="array" ref="E137">INDEX(Battery!C:C,D137+1)+(INDEX(Battery!C:C,D137)-INDEX(Battery!C:C,D137+1))/(INDEX(Battery!B:B,D137)-INDEX(Battery!C:C,B137+1))*(B137-INDEX(Battery!C:C,B137+1))</f>
        <v>3.7496173096913141</v>
      </c>
      <c r="F137">
        <f t="shared" si="15"/>
        <v>3.6946173096913144</v>
      </c>
      <c r="G137">
        <f>MATCH(F137,Load!C$3:C$15,1)</f>
        <v>6</v>
      </c>
      <c r="H137">
        <f t="shared" si="16"/>
        <v>89.153651199023713</v>
      </c>
      <c r="I137">
        <f t="shared" si="14"/>
        <v>8.91536511990234</v>
      </c>
    </row>
    <row r="138" spans="1:9" x14ac:dyDescent="0.3">
      <c r="A138">
        <v>13.4</v>
      </c>
      <c r="B138">
        <f t="shared" si="4"/>
        <v>39.50495462494434</v>
      </c>
      <c r="C138">
        <f t="shared" si="13"/>
        <v>790.09909249888676</v>
      </c>
      <c r="D138">
        <f>MATCH(B138,Battery!B:B,-1)</f>
        <v>20</v>
      </c>
      <c r="E138" cm="1">
        <f t="array" ref="E138">INDEX(Battery!C:C,D138+1)+(INDEX(Battery!C:C,D138)-INDEX(Battery!C:C,D138+1))/(INDEX(Battery!B:B,D138)-INDEX(Battery!C:C,B138+1))*(B138-INDEX(Battery!C:C,B138+1))</f>
        <v>3.7494460233337259</v>
      </c>
      <c r="F138">
        <f t="shared" si="15"/>
        <v>3.6944460233337262</v>
      </c>
      <c r="G138">
        <f>MATCH(F138,Load!C$3:C$15,1)</f>
        <v>6</v>
      </c>
      <c r="H138">
        <f t="shared" si="16"/>
        <v>89.149780127342211</v>
      </c>
      <c r="I138">
        <f t="shared" si="14"/>
        <v>8.9149780127341902</v>
      </c>
    </row>
    <row r="139" spans="1:9" x14ac:dyDescent="0.3">
      <c r="A139">
        <v>13.5</v>
      </c>
      <c r="B139">
        <f t="shared" si="4"/>
        <v>39.059205724307624</v>
      </c>
      <c r="C139">
        <f t="shared" si="13"/>
        <v>781.18411448615257</v>
      </c>
      <c r="D139">
        <f>MATCH(B139,Battery!B:B,-1)</f>
        <v>20</v>
      </c>
      <c r="E139" cm="1">
        <f t="array" ref="E139">INDEX(Battery!C:C,D139+1)+(INDEX(Battery!C:C,D139)-INDEX(Battery!C:C,D139+1))/(INDEX(Battery!B:B,D139)-INDEX(Battery!C:C,B139+1))*(B139-INDEX(Battery!C:C,B139+1))</f>
        <v>3.7492747444134298</v>
      </c>
      <c r="F139">
        <f t="shared" si="15"/>
        <v>3.6942747444134301</v>
      </c>
      <c r="G139">
        <f>MATCH(F139,Load!C$3:C$15,1)</f>
        <v>6</v>
      </c>
      <c r="H139">
        <f t="shared" si="16"/>
        <v>89.145909223743516</v>
      </c>
      <c r="I139">
        <f t="shared" si="14"/>
        <v>8.9145909223743196</v>
      </c>
    </row>
    <row r="140" spans="1:9" x14ac:dyDescent="0.3">
      <c r="A140">
        <v>13.6</v>
      </c>
      <c r="B140">
        <f t="shared" si="4"/>
        <v>38.613476178188911</v>
      </c>
      <c r="C140">
        <f t="shared" si="13"/>
        <v>772.26952356377819</v>
      </c>
      <c r="D140">
        <f>MATCH(B140,Battery!B:B,-1)</f>
        <v>20</v>
      </c>
      <c r="E140" cm="1">
        <f t="array" ref="E140">INDEX(Battery!C:C,D140+1)+(INDEX(Battery!C:C,D140)-INDEX(Battery!C:C,D140+1))/(INDEX(Battery!B:B,D140)-INDEX(Battery!C:C,B140+1))*(B140-INDEX(Battery!C:C,B140+1))</f>
        <v>3.7491003726204775</v>
      </c>
      <c r="F140">
        <f t="shared" si="15"/>
        <v>3.6941003726204777</v>
      </c>
      <c r="G140">
        <f>MATCH(F140,Load!C$3:C$15,1)</f>
        <v>6</v>
      </c>
      <c r="H140">
        <f t="shared" si="16"/>
        <v>89.141968421222799</v>
      </c>
      <c r="I140">
        <f t="shared" si="14"/>
        <v>8.9141968421222479</v>
      </c>
    </row>
    <row r="141" spans="1:9" x14ac:dyDescent="0.3">
      <c r="A141">
        <v>13.7</v>
      </c>
      <c r="B141">
        <f t="shared" si="4"/>
        <v>38.167766336082799</v>
      </c>
      <c r="C141">
        <f t="shared" si="13"/>
        <v>763.35532672165596</v>
      </c>
      <c r="D141">
        <f>MATCH(B141,Battery!B:B,-1)</f>
        <v>20</v>
      </c>
      <c r="E141" cm="1">
        <f t="array" ref="E141">INDEX(Battery!C:C,D141+1)+(INDEX(Battery!C:C,D141)-INDEX(Battery!C:C,D141+1))/(INDEX(Battery!B:B,D141)-INDEX(Battery!C:C,B141+1))*(B141-INDEX(Battery!C:C,B141+1))</f>
        <v>3.748928837526218</v>
      </c>
      <c r="F141">
        <f t="shared" si="15"/>
        <v>3.6939288375262183</v>
      </c>
      <c r="G141">
        <f>MATCH(F141,Load!C$3:C$15,1)</f>
        <v>6</v>
      </c>
      <c r="H141">
        <f t="shared" si="16"/>
        <v>89.138091728092533</v>
      </c>
      <c r="I141">
        <f t="shared" si="14"/>
        <v>8.9138091728093798</v>
      </c>
    </row>
    <row r="142" spans="1:9" x14ac:dyDescent="0.3">
      <c r="A142">
        <v>13.8</v>
      </c>
      <c r="B142">
        <f t="shared" si="4"/>
        <v>37.722075877442329</v>
      </c>
      <c r="C142">
        <f t="shared" si="13"/>
        <v>754.4415175488466</v>
      </c>
      <c r="D142">
        <f>MATCH(B142,Battery!B:B,-1)</f>
        <v>20</v>
      </c>
      <c r="E142" cm="1">
        <f t="array" ref="E142">INDEX(Battery!C:C,D142+1)+(INDEX(Battery!C:C,D142)-INDEX(Battery!C:C,D142+1))/(INDEX(Battery!B:B,D142)-INDEX(Battery!C:C,B142+1))*(B142-INDEX(Battery!C:C,B142+1))</f>
        <v>3.7487540241563178</v>
      </c>
      <c r="F142">
        <f t="shared" si="15"/>
        <v>3.693754024156318</v>
      </c>
      <c r="G142">
        <f>MATCH(F142,Load!C$3:C$15,1)</f>
        <v>6</v>
      </c>
      <c r="H142">
        <f t="shared" si="16"/>
        <v>89.134140945932785</v>
      </c>
      <c r="I142">
        <f t="shared" si="14"/>
        <v>8.9134140945932465</v>
      </c>
    </row>
    <row r="143" spans="1:9" x14ac:dyDescent="0.3">
      <c r="A143">
        <v>13.9</v>
      </c>
      <c r="B143">
        <f t="shared" si="4"/>
        <v>37.276405172712671</v>
      </c>
      <c r="C143">
        <f t="shared" si="13"/>
        <v>745.52810345425337</v>
      </c>
      <c r="D143">
        <f>MATCH(B143,Battery!B:B,-1)</f>
        <v>20</v>
      </c>
      <c r="E143" cm="1">
        <f t="array" ref="E143">INDEX(Battery!C:C,D143+1)+(INDEX(Battery!C:C,D143)-INDEX(Battery!C:C,D143+1))/(INDEX(Battery!B:B,D143)-INDEX(Battery!C:C,B143+1))*(B143-INDEX(Battery!C:C,B143+1))</f>
        <v>3.7485822595355027</v>
      </c>
      <c r="F143">
        <f t="shared" si="15"/>
        <v>3.693582259535503</v>
      </c>
      <c r="G143">
        <f>MATCH(F143,Load!C$3:C$15,1)</f>
        <v>6</v>
      </c>
      <c r="H143">
        <f t="shared" si="16"/>
        <v>89.130259065502372</v>
      </c>
      <c r="I143">
        <f t="shared" si="14"/>
        <v>8.9130259065502049</v>
      </c>
    </row>
    <row r="144" spans="1:9" x14ac:dyDescent="0.3">
      <c r="A144">
        <v>14</v>
      </c>
      <c r="B144">
        <f t="shared" si="4"/>
        <v>36.830753877385156</v>
      </c>
      <c r="C144">
        <f t="shared" si="13"/>
        <v>736.61507754770321</v>
      </c>
      <c r="D144">
        <f>MATCH(B144,Battery!B:B,-1)</f>
        <v>20</v>
      </c>
      <c r="E144" cm="1">
        <f t="array" ref="E144">INDEX(Battery!C:C,D144+1)+(INDEX(Battery!C:C,D144)-INDEX(Battery!C:C,D144+1))/(INDEX(Battery!B:B,D144)-INDEX(Battery!C:C,B144+1))*(B144-INDEX(Battery!C:C,B144+1))</f>
        <v>3.7484067167189017</v>
      </c>
      <c r="F144">
        <f t="shared" si="15"/>
        <v>3.693406716718902</v>
      </c>
      <c r="G144">
        <f>MATCH(F144,Load!C$3:C$15,1)</f>
        <v>6</v>
      </c>
      <c r="H144">
        <f t="shared" si="16"/>
        <v>89.126291797847188</v>
      </c>
      <c r="I144">
        <f t="shared" si="14"/>
        <v>8.9126291797846875</v>
      </c>
    </row>
    <row r="145" spans="1:9" x14ac:dyDescent="0.3">
      <c r="A145">
        <v>14.1</v>
      </c>
      <c r="B145">
        <f t="shared" si="4"/>
        <v>36.385122418395923</v>
      </c>
      <c r="C145">
        <f t="shared" si="13"/>
        <v>727.70244836791858</v>
      </c>
      <c r="D145">
        <f>MATCH(B145,Battery!B:B,-1)</f>
        <v>21</v>
      </c>
      <c r="E145" cm="1">
        <f t="array" ref="E145">INDEX(Battery!C:C,D145+1)+(INDEX(Battery!C:C,D145)-INDEX(Battery!C:C,D145+1))/(INDEX(Battery!B:B,D145)-INDEX(Battery!C:C,B145+1))*(B145-INDEX(Battery!C:C,B145+1))</f>
        <v>3.7352452765044499</v>
      </c>
      <c r="F145">
        <f t="shared" si="15"/>
        <v>3.6802452765044502</v>
      </c>
      <c r="G145">
        <f>MATCH(F145,Load!C$3:C$15,1)</f>
        <v>6</v>
      </c>
      <c r="H145">
        <f t="shared" si="16"/>
        <v>88.82884324900057</v>
      </c>
      <c r="I145">
        <f t="shared" si="14"/>
        <v>8.8828843249000258</v>
      </c>
    </row>
    <row r="146" spans="1:9" x14ac:dyDescent="0.3">
      <c r="A146">
        <v>14.2</v>
      </c>
      <c r="B146">
        <f t="shared" si="4"/>
        <v>35.940978202150923</v>
      </c>
      <c r="C146">
        <f t="shared" si="13"/>
        <v>718.81956404301854</v>
      </c>
      <c r="D146">
        <f>MATCH(B146,Battery!B:B,-1)</f>
        <v>21</v>
      </c>
      <c r="E146" cm="1">
        <f t="array" ref="E146">INDEX(Battery!C:C,D146+1)+(INDEX(Battery!C:C,D146)-INDEX(Battery!C:C,D146+1))/(INDEX(Battery!B:B,D146)-INDEX(Battery!C:C,B146+1))*(B146-INDEX(Battery!C:C,B146+1))</f>
        <v>3.7350586559872485</v>
      </c>
      <c r="F146">
        <f t="shared" si="15"/>
        <v>3.6800586559872488</v>
      </c>
      <c r="G146">
        <f>MATCH(F146,Load!C$3:C$15,1)</f>
        <v>6</v>
      </c>
      <c r="H146">
        <f t="shared" si="16"/>
        <v>88.824625625311825</v>
      </c>
      <c r="I146">
        <f t="shared" si="14"/>
        <v>8.8824625625313089</v>
      </c>
    </row>
    <row r="147" spans="1:9" x14ac:dyDescent="0.3">
      <c r="A147">
        <v>14.3</v>
      </c>
      <c r="B147">
        <f t="shared" si="4"/>
        <v>35.496855074024367</v>
      </c>
      <c r="C147">
        <f t="shared" si="13"/>
        <v>709.93710148048729</v>
      </c>
      <c r="D147">
        <f>MATCH(B147,Battery!B:B,-1)</f>
        <v>21</v>
      </c>
      <c r="E147" cm="1">
        <f t="array" ref="E147">INDEX(Battery!C:C,D147+1)+(INDEX(Battery!C:C,D147)-INDEX(Battery!C:C,D147+1))/(INDEX(Battery!B:B,D147)-INDEX(Battery!C:C,B147+1))*(B147-INDEX(Battery!C:C,B147+1))</f>
        <v>3.7348723520148468</v>
      </c>
      <c r="F147">
        <f t="shared" si="15"/>
        <v>3.6798723520148471</v>
      </c>
      <c r="G147">
        <f>MATCH(F147,Load!C$3:C$15,1)</f>
        <v>6</v>
      </c>
      <c r="H147">
        <f t="shared" si="16"/>
        <v>88.820415155535542</v>
      </c>
      <c r="I147">
        <f t="shared" si="14"/>
        <v>8.8820415155535226</v>
      </c>
    </row>
    <row r="148" spans="1:9" x14ac:dyDescent="0.3">
      <c r="A148">
        <v>14.4</v>
      </c>
      <c r="B148">
        <f t="shared" si="4"/>
        <v>35.052752998246689</v>
      </c>
      <c r="C148">
        <f t="shared" si="13"/>
        <v>701.05505996493378</v>
      </c>
      <c r="D148">
        <f>MATCH(B148,Battery!B:B,-1)</f>
        <v>21</v>
      </c>
      <c r="E148" cm="1">
        <f t="array" ref="E148">INDEX(Battery!C:C,D148+1)+(INDEX(Battery!C:C,D148)-INDEX(Battery!C:C,D148+1))/(INDEX(Battery!B:B,D148)-INDEX(Battery!C:C,B148+1))*(B148-INDEX(Battery!C:C,B148+1))</f>
        <v>3.7346860568736364</v>
      </c>
      <c r="F148">
        <f t="shared" si="15"/>
        <v>3.6796860568736367</v>
      </c>
      <c r="G148">
        <f>MATCH(F148,Load!C$3:C$15,1)</f>
        <v>6</v>
      </c>
      <c r="H148">
        <f t="shared" si="16"/>
        <v>88.816204885344192</v>
      </c>
      <c r="I148">
        <f t="shared" si="14"/>
        <v>8.8816204885343879</v>
      </c>
    </row>
    <row r="149" spans="1:9" x14ac:dyDescent="0.3">
      <c r="A149">
        <v>14.5</v>
      </c>
      <c r="B149">
        <f t="shared" si="4"/>
        <v>34.608671973819973</v>
      </c>
      <c r="C149">
        <f t="shared" si="13"/>
        <v>692.17343947639938</v>
      </c>
      <c r="D149">
        <f>MATCH(B149,Battery!B:B,-1)</f>
        <v>21</v>
      </c>
      <c r="E149" cm="1">
        <f t="array" ref="E149">INDEX(Battery!C:C,D149+1)+(INDEX(Battery!C:C,D149)-INDEX(Battery!C:C,D149+1))/(INDEX(Battery!B:B,D149)-INDEX(Battery!C:C,B149+1))*(B149-INDEX(Battery!C:C,B149+1))</f>
        <v>3.7344981395582226</v>
      </c>
      <c r="F149">
        <f t="shared" si="15"/>
        <v>3.6794981395582229</v>
      </c>
      <c r="G149">
        <f>MATCH(F149,Load!C$3:C$15,1)</f>
        <v>6</v>
      </c>
      <c r="H149">
        <f t="shared" si="16"/>
        <v>88.811957954015838</v>
      </c>
      <c r="I149">
        <f t="shared" si="14"/>
        <v>8.8811957954015526</v>
      </c>
    </row>
    <row r="150" spans="1:9" x14ac:dyDescent="0.3">
      <c r="A150">
        <v>14.6</v>
      </c>
      <c r="B150">
        <f t="shared" si="4"/>
        <v>34.164612184049894</v>
      </c>
      <c r="C150">
        <f t="shared" si="13"/>
        <v>683.29224368099779</v>
      </c>
      <c r="D150">
        <f>MATCH(B150,Battery!B:B,-1)</f>
        <v>21</v>
      </c>
      <c r="E150" cm="1">
        <f t="array" ref="E150">INDEX(Battery!C:C,D150+1)+(INDEX(Battery!C:C,D150)-INDEX(Battery!C:C,D150+1))/(INDEX(Battery!B:B,D150)-INDEX(Battery!C:C,B150+1))*(B150-INDEX(Battery!C:C,B150+1))</f>
        <v>3.7343115316409956</v>
      </c>
      <c r="F150">
        <f t="shared" si="15"/>
        <v>3.6793115316409959</v>
      </c>
      <c r="G150">
        <f>MATCH(F150,Load!C$3:C$15,1)</f>
        <v>6</v>
      </c>
      <c r="H150">
        <f t="shared" si="16"/>
        <v>88.807740615086516</v>
      </c>
      <c r="I150">
        <f t="shared" si="14"/>
        <v>8.8807740615086193</v>
      </c>
    </row>
    <row r="151" spans="1:9" x14ac:dyDescent="0.3">
      <c r="A151">
        <v>14.7</v>
      </c>
      <c r="B151">
        <f t="shared" si="4"/>
        <v>33.720573480974458</v>
      </c>
      <c r="C151">
        <f t="shared" si="13"/>
        <v>674.41146961948914</v>
      </c>
      <c r="D151">
        <f>MATCH(B151,Battery!B:B,-1)</f>
        <v>21</v>
      </c>
      <c r="E151" cm="1">
        <f t="array" ref="E151">INDEX(Battery!C:C,D151+1)+(INDEX(Battery!C:C,D151)-INDEX(Battery!C:C,D151+1))/(INDEX(Battery!B:B,D151)-INDEX(Battery!C:C,B151+1))*(B151-INDEX(Battery!C:C,B151+1))</f>
        <v>3.7341229961413838</v>
      </c>
      <c r="F151">
        <f t="shared" si="15"/>
        <v>3.679122996141384</v>
      </c>
      <c r="G151">
        <f>MATCH(F151,Load!C$3:C$15,1)</f>
        <v>6</v>
      </c>
      <c r="H151">
        <f t="shared" si="16"/>
        <v>88.80347971279528</v>
      </c>
      <c r="I151">
        <f t="shared" si="14"/>
        <v>8.8803479712796545</v>
      </c>
    </row>
    <row r="152" spans="1:9" x14ac:dyDescent="0.3">
      <c r="A152">
        <v>14.8</v>
      </c>
      <c r="B152">
        <f t="shared" si="4"/>
        <v>33.276556082410472</v>
      </c>
      <c r="C152">
        <f t="shared" si="13"/>
        <v>665.53112164820948</v>
      </c>
      <c r="D152">
        <f>MATCH(B152,Battery!B:B,-1)</f>
        <v>21</v>
      </c>
      <c r="E152" cm="1">
        <f t="array" ref="E152">INDEX(Battery!C:C,D152+1)+(INDEX(Battery!C:C,D152)-INDEX(Battery!C:C,D152+1))/(INDEX(Battery!B:B,D152)-INDEX(Battery!C:C,B152+1))*(B152-INDEX(Battery!C:C,B152+1))</f>
        <v>3.7339361268251663</v>
      </c>
      <c r="F152">
        <f t="shared" si="15"/>
        <v>3.6789361268251666</v>
      </c>
      <c r="G152">
        <f>MATCH(F152,Load!C$3:C$15,1)</f>
        <v>6</v>
      </c>
      <c r="H152">
        <f t="shared" si="16"/>
        <v>88.799256466248764</v>
      </c>
      <c r="I152">
        <f t="shared" si="14"/>
        <v>8.8799256466248444</v>
      </c>
    </row>
    <row r="153" spans="1:9" x14ac:dyDescent="0.3">
      <c r="A153">
        <v>14.9</v>
      </c>
      <c r="B153">
        <f t="shared" si="4"/>
        <v>32.832559800079231</v>
      </c>
      <c r="C153">
        <f t="shared" si="13"/>
        <v>656.65119600158459</v>
      </c>
      <c r="D153">
        <f>MATCH(B153,Battery!B:B,-1)</f>
        <v>21</v>
      </c>
      <c r="E153" cm="1">
        <f t="array" ref="E153">INDEX(Battery!C:C,D153+1)+(INDEX(Battery!C:C,D153)-INDEX(Battery!C:C,D153+1))/(INDEX(Battery!B:B,D153)-INDEX(Battery!C:C,B153+1))*(B153-INDEX(Battery!C:C,B153+1))</f>
        <v>3.7337465290870093</v>
      </c>
      <c r="F153">
        <f t="shared" si="15"/>
        <v>3.6787465290870096</v>
      </c>
      <c r="G153">
        <f>MATCH(F153,Load!C$3:C$15,1)</f>
        <v>6</v>
      </c>
      <c r="H153">
        <f t="shared" si="16"/>
        <v>88.794971557366424</v>
      </c>
      <c r="I153">
        <f t="shared" si="14"/>
        <v>8.87949715573661</v>
      </c>
    </row>
    <row r="154" spans="1:9" x14ac:dyDescent="0.3">
      <c r="A154">
        <v>15</v>
      </c>
      <c r="B154">
        <f t="shared" si="4"/>
        <v>32.388584942292397</v>
      </c>
      <c r="C154">
        <f t="shared" si="13"/>
        <v>647.77169884584794</v>
      </c>
      <c r="D154">
        <f>MATCH(B154,Battery!B:B,-1)</f>
        <v>21</v>
      </c>
      <c r="E154" cm="1">
        <f t="array" ref="E154">INDEX(Battery!C:C,D154+1)+(INDEX(Battery!C:C,D154)-INDEX(Battery!C:C,D154+1))/(INDEX(Battery!B:B,D154)-INDEX(Battery!C:C,B154+1))*(B154-INDEX(Battery!C:C,B154+1))</f>
        <v>3.7335593713565887</v>
      </c>
      <c r="F154">
        <f t="shared" si="15"/>
        <v>3.6785593713565889</v>
      </c>
      <c r="G154">
        <f>MATCH(F154,Load!C$3:C$15,1)</f>
        <v>6</v>
      </c>
      <c r="H154">
        <f t="shared" si="16"/>
        <v>88.790741792658906</v>
      </c>
      <c r="I154">
        <f t="shared" si="14"/>
        <v>8.8790741792658583</v>
      </c>
    </row>
    <row r="155" spans="1:9" x14ac:dyDescent="0.3">
      <c r="A155">
        <v>15.1</v>
      </c>
      <c r="B155">
        <f t="shared" si="4"/>
        <v>31.944631233329101</v>
      </c>
      <c r="C155">
        <f t="shared" si="13"/>
        <v>638.89262466658204</v>
      </c>
      <c r="D155">
        <f>MATCH(B155,Battery!B:B,-1)</f>
        <v>21</v>
      </c>
      <c r="E155" cm="1">
        <f t="array" ref="E155">INDEX(Battery!C:C,D155+1)+(INDEX(Battery!C:C,D155)-INDEX(Battery!C:C,D155+1))/(INDEX(Battery!B:B,D155)-INDEX(Battery!C:C,B155+1))*(B155-INDEX(Battery!C:C,B155+1))</f>
        <v>3.7333690539646658</v>
      </c>
      <c r="F155">
        <f t="shared" si="15"/>
        <v>3.6783690539646661</v>
      </c>
      <c r="G155">
        <f>MATCH(F155,Load!C$3:C$15,1)</f>
        <v>6</v>
      </c>
      <c r="H155">
        <f t="shared" si="16"/>
        <v>88.78644061960145</v>
      </c>
      <c r="I155">
        <f t="shared" si="14"/>
        <v>8.878644061960113</v>
      </c>
    </row>
    <row r="156" spans="1:9" x14ac:dyDescent="0.3">
      <c r="A156">
        <v>15.2</v>
      </c>
      <c r="B156">
        <f t="shared" si="4"/>
        <v>31.500699030231093</v>
      </c>
      <c r="C156">
        <f t="shared" si="13"/>
        <v>630.01398060462191</v>
      </c>
      <c r="D156">
        <f>MATCH(B156,Battery!B:B,-1)</f>
        <v>21</v>
      </c>
      <c r="E156" cm="1">
        <f t="array" ref="E156">INDEX(Battery!C:C,D156+1)+(INDEX(Battery!C:C,D156)-INDEX(Battery!C:C,D156+1))/(INDEX(Battery!B:B,D156)-INDEX(Battery!C:C,B156+1))*(B156-INDEX(Battery!C:C,B156+1))</f>
        <v>3.7331816245082199</v>
      </c>
      <c r="F156">
        <f t="shared" si="15"/>
        <v>3.6781816245082202</v>
      </c>
      <c r="G156">
        <f>MATCH(F156,Load!C$3:C$15,1)</f>
        <v>6</v>
      </c>
      <c r="H156">
        <f t="shared" si="16"/>
        <v>88.782204713885776</v>
      </c>
      <c r="I156">
        <f t="shared" si="14"/>
        <v>8.878220471388703</v>
      </c>
    </row>
    <row r="157" spans="1:9" x14ac:dyDescent="0.3">
      <c r="A157">
        <v>15.3</v>
      </c>
      <c r="B157">
        <f t="shared" si="4"/>
        <v>31.056788006661662</v>
      </c>
      <c r="C157">
        <f t="shared" si="13"/>
        <v>621.13576013323325</v>
      </c>
      <c r="D157">
        <f>MATCH(B157,Battery!B:B,-1)</f>
        <v>22</v>
      </c>
      <c r="E157" cm="1">
        <f t="array" ref="E157">INDEX(Battery!C:C,D157+1)+(INDEX(Battery!C:C,D157)-INDEX(Battery!C:C,D157+1))/(INDEX(Battery!B:B,D157)-INDEX(Battery!C:C,B157+1))*(B157-INDEX(Battery!C:C,B157+1))</f>
        <v>3.7211627372972775</v>
      </c>
      <c r="F157">
        <f t="shared" si="15"/>
        <v>3.6661627372972778</v>
      </c>
      <c r="G157">
        <f>MATCH(F157,Load!C$3:C$15,1)</f>
        <v>6</v>
      </c>
      <c r="H157">
        <f t="shared" si="16"/>
        <v>88.510577862918481</v>
      </c>
      <c r="I157">
        <f t="shared" si="14"/>
        <v>8.8510577862918165</v>
      </c>
    </row>
    <row r="158" spans="1:9" x14ac:dyDescent="0.3">
      <c r="A158">
        <v>15.4</v>
      </c>
      <c r="B158">
        <f t="shared" si="4"/>
        <v>30.614235117347071</v>
      </c>
      <c r="C158">
        <f t="shared" si="13"/>
        <v>612.28470234694146</v>
      </c>
      <c r="D158">
        <f>MATCH(B158,Battery!B:B,-1)</f>
        <v>22</v>
      </c>
      <c r="E158" cm="1">
        <f t="array" ref="E158">INDEX(Battery!C:C,D158+1)+(INDEX(Battery!C:C,D158)-INDEX(Battery!C:C,D158+1))/(INDEX(Battery!B:B,D158)-INDEX(Battery!C:C,B158+1))*(B158-INDEX(Battery!C:C,B158+1))</f>
        <v>3.7208889441977631</v>
      </c>
      <c r="F158">
        <f t="shared" si="15"/>
        <v>3.6658889441977633</v>
      </c>
      <c r="G158">
        <f>MATCH(F158,Load!C$3:C$15,1)</f>
        <v>6</v>
      </c>
      <c r="H158">
        <f t="shared" si="16"/>
        <v>88.504390138869454</v>
      </c>
      <c r="I158">
        <f t="shared" si="14"/>
        <v>8.8504390138869145</v>
      </c>
    </row>
    <row r="159" spans="1:9" x14ac:dyDescent="0.3">
      <c r="A159">
        <v>15.5</v>
      </c>
      <c r="B159">
        <f t="shared" si="4"/>
        <v>30.171713166652729</v>
      </c>
      <c r="C159">
        <f t="shared" si="13"/>
        <v>603.43426333305456</v>
      </c>
      <c r="D159">
        <f>MATCH(B159,Battery!B:B,-1)</f>
        <v>22</v>
      </c>
      <c r="E159" cm="1">
        <f t="array" ref="E159">INDEX(Battery!C:C,D159+1)+(INDEX(Battery!C:C,D159)-INDEX(Battery!C:C,D159+1))/(INDEX(Battery!B:B,D159)-INDEX(Battery!C:C,B159+1))*(B159-INDEX(Battery!C:C,B159+1))</f>
        <v>3.7206154703732324</v>
      </c>
      <c r="F159">
        <f t="shared" si="15"/>
        <v>3.6656154703732327</v>
      </c>
      <c r="G159">
        <f>MATCH(F159,Load!C$3:C$15,1)</f>
        <v>6</v>
      </c>
      <c r="H159">
        <f t="shared" si="16"/>
        <v>88.498209630435056</v>
      </c>
      <c r="I159">
        <f t="shared" si="14"/>
        <v>8.8498209630434737</v>
      </c>
    </row>
    <row r="160" spans="1:9" x14ac:dyDescent="0.3">
      <c r="A160">
        <v>15.6</v>
      </c>
      <c r="B160">
        <f t="shared" si="4"/>
        <v>29.729222118500552</v>
      </c>
      <c r="C160">
        <f t="shared" si="13"/>
        <v>594.58444237001106</v>
      </c>
      <c r="D160">
        <f>MATCH(B160,Battery!B:B,-1)</f>
        <v>22</v>
      </c>
      <c r="E160" cm="1">
        <f t="array" ref="E160">INDEX(Battery!C:C,D160+1)+(INDEX(Battery!C:C,D160)-INDEX(Battery!C:C,D160+1))/(INDEX(Battery!B:B,D160)-INDEX(Battery!C:C,B160+1))*(B160-INDEX(Battery!C:C,B160+1))</f>
        <v>3.7203407796097454</v>
      </c>
      <c r="F160">
        <f t="shared" si="15"/>
        <v>3.6653407796097457</v>
      </c>
      <c r="G160">
        <f>MATCH(F160,Load!C$3:C$15,1)</f>
        <v>6</v>
      </c>
      <c r="H160">
        <f t="shared" si="16"/>
        <v>88.492001619180257</v>
      </c>
      <c r="I160">
        <f t="shared" si="14"/>
        <v>8.8492001619179952</v>
      </c>
    </row>
    <row r="161" spans="1:9" x14ac:dyDescent="0.3">
      <c r="A161">
        <v>15.7</v>
      </c>
      <c r="B161">
        <f t="shared" si="4"/>
        <v>29.286762110404652</v>
      </c>
      <c r="C161">
        <f t="shared" si="13"/>
        <v>585.73524220809304</v>
      </c>
      <c r="D161">
        <f>MATCH(B161,Battery!B:B,-1)</f>
        <v>22</v>
      </c>
      <c r="E161" cm="1">
        <f t="array" ref="E161">INDEX(Battery!C:C,D161+1)+(INDEX(Battery!C:C,D161)-INDEX(Battery!C:C,D161+1))/(INDEX(Battery!B:B,D161)-INDEX(Battery!C:C,B161+1))*(B161-INDEX(Battery!C:C,B161+1))</f>
        <v>3.7200670056863738</v>
      </c>
      <c r="F161">
        <f t="shared" si="15"/>
        <v>3.6650670056863741</v>
      </c>
      <c r="G161">
        <f>MATCH(F161,Load!C$3:C$15,1)</f>
        <v>6</v>
      </c>
      <c r="H161">
        <f t="shared" si="16"/>
        <v>88.485814328512063</v>
      </c>
      <c r="I161">
        <f t="shared" si="14"/>
        <v>8.8485814328513328</v>
      </c>
    </row>
    <row r="162" spans="1:9" x14ac:dyDescent="0.3">
      <c r="A162">
        <v>15.8</v>
      </c>
      <c r="B162">
        <f t="shared" si="4"/>
        <v>28.84433303876208</v>
      </c>
      <c r="C162">
        <f t="shared" si="13"/>
        <v>576.88666077524169</v>
      </c>
      <c r="D162">
        <f>MATCH(B162,Battery!B:B,-1)</f>
        <v>22</v>
      </c>
      <c r="E162" cm="1">
        <f t="array" ref="E162">INDEX(Battery!C:C,D162+1)+(INDEX(Battery!C:C,D162)-INDEX(Battery!C:C,D162+1))/(INDEX(Battery!B:B,D162)-INDEX(Battery!C:C,B162+1))*(B162-INDEX(Battery!C:C,B162+1))</f>
        <v>3.7197910715525726</v>
      </c>
      <c r="F162">
        <f t="shared" si="15"/>
        <v>3.6647910715525729</v>
      </c>
      <c r="G162">
        <f>MATCH(F162,Load!C$3:C$15,1)</f>
        <v>6</v>
      </c>
      <c r="H162">
        <f t="shared" si="16"/>
        <v>88.479578217088147</v>
      </c>
      <c r="I162">
        <f t="shared" si="14"/>
        <v>8.8479578217087838</v>
      </c>
    </row>
    <row r="163" spans="1:9" x14ac:dyDescent="0.3">
      <c r="A163">
        <v>15.9</v>
      </c>
      <c r="B163">
        <f t="shared" si="4"/>
        <v>28.40193514767665</v>
      </c>
      <c r="C163">
        <f t="shared" si="13"/>
        <v>568.03870295353295</v>
      </c>
      <c r="D163">
        <f>MATCH(B163,Battery!B:B,-1)</f>
        <v>22</v>
      </c>
      <c r="E163" cm="1">
        <f t="array" ref="E163">INDEX(Battery!C:C,D163+1)+(INDEX(Battery!C:C,D163)-INDEX(Battery!C:C,D163+1))/(INDEX(Battery!B:B,D163)-INDEX(Battery!C:C,B163+1))*(B163-INDEX(Battery!C:C,B163+1))</f>
        <v>3.7195169505800121</v>
      </c>
      <c r="F163">
        <f t="shared" si="15"/>
        <v>3.6645169505800124</v>
      </c>
      <c r="G163">
        <f>MATCH(F163,Load!C$3:C$15,1)</f>
        <v>6</v>
      </c>
      <c r="H163">
        <f t="shared" si="16"/>
        <v>88.473383083108288</v>
      </c>
      <c r="I163">
        <f t="shared" si="14"/>
        <v>8.8473383083107979</v>
      </c>
    </row>
    <row r="164" spans="1:9" x14ac:dyDescent="0.3">
      <c r="A164">
        <v>16</v>
      </c>
      <c r="B164">
        <f t="shared" si="4"/>
        <v>27.959568232261105</v>
      </c>
      <c r="C164">
        <f t="shared" si="13"/>
        <v>559.19136464522217</v>
      </c>
      <c r="D164">
        <f>MATCH(B164,Battery!B:B,-1)</f>
        <v>22</v>
      </c>
      <c r="E164" cm="1">
        <f t="array" ref="E164">INDEX(Battery!C:C,D164+1)+(INDEX(Battery!C:C,D164)-INDEX(Battery!C:C,D164+1))/(INDEX(Battery!B:B,D164)-INDEX(Battery!C:C,B164+1))*(B164-INDEX(Battery!C:C,B164+1))</f>
        <v>3.7192404825804073</v>
      </c>
      <c r="F164">
        <f t="shared" si="15"/>
        <v>3.6642404825804076</v>
      </c>
      <c r="G164">
        <f>MATCH(F164,Load!C$3:C$15,1)</f>
        <v>6</v>
      </c>
      <c r="H164">
        <f t="shared" si="16"/>
        <v>88.467134906317213</v>
      </c>
      <c r="I164">
        <f t="shared" si="14"/>
        <v>8.8467134906318474</v>
      </c>
    </row>
    <row r="165" spans="1:9" x14ac:dyDescent="0.3">
      <c r="A165">
        <v>16.100000000000001</v>
      </c>
      <c r="B165">
        <f t="shared" si="4"/>
        <v>27.517232557729514</v>
      </c>
      <c r="C165">
        <f t="shared" si="13"/>
        <v>550.34465115459034</v>
      </c>
      <c r="D165">
        <f>MATCH(B165,Battery!B:B,-1)</f>
        <v>22</v>
      </c>
      <c r="E165" cm="1">
        <f t="array" ref="E165">INDEX(Battery!C:C,D165+1)+(INDEX(Battery!C:C,D165)-INDEX(Battery!C:C,D165+1))/(INDEX(Battery!B:B,D165)-INDEX(Battery!C:C,B165+1))*(B165-INDEX(Battery!C:C,B165+1))</f>
        <v>3.7189660910328119</v>
      </c>
      <c r="F165">
        <f t="shared" si="15"/>
        <v>3.6639660910328122</v>
      </c>
      <c r="G165">
        <f>MATCH(F165,Load!C$3:C$15,1)</f>
        <v>6</v>
      </c>
      <c r="H165">
        <f t="shared" si="16"/>
        <v>88.460933657341556</v>
      </c>
      <c r="I165">
        <f t="shared" si="14"/>
        <v>8.8460933657339673</v>
      </c>
    </row>
    <row r="166" spans="1:9" x14ac:dyDescent="0.3">
      <c r="A166">
        <v>16.2</v>
      </c>
      <c r="B166">
        <f t="shared" si="4"/>
        <v>27.074927889442819</v>
      </c>
      <c r="C166">
        <f t="shared" si="13"/>
        <v>541.49855778885637</v>
      </c>
      <c r="D166">
        <f>MATCH(B166,Battery!B:B,-1)</f>
        <v>22</v>
      </c>
      <c r="E166" cm="1">
        <f t="array" ref="E166">INDEX(Battery!C:C,D166+1)+(INDEX(Battery!C:C,D166)-INDEX(Battery!C:C,D166+1))/(INDEX(Battery!B:B,D166)-INDEX(Battery!C:C,B166+1))*(B166-INDEX(Battery!C:C,B166+1))</f>
        <v>3.7186917187191422</v>
      </c>
      <c r="F166">
        <f t="shared" si="15"/>
        <v>3.6636917187191425</v>
      </c>
      <c r="G166">
        <f>MATCH(F166,Load!C$3:C$15,1)</f>
        <v>6</v>
      </c>
      <c r="H166">
        <f t="shared" si="16"/>
        <v>88.454732843052625</v>
      </c>
      <c r="I166">
        <f t="shared" si="14"/>
        <v>8.8454732843053883</v>
      </c>
    </row>
    <row r="167" spans="1:9" x14ac:dyDescent="0.3">
      <c r="A167">
        <v>16.3</v>
      </c>
      <c r="B167">
        <f t="shared" si="4"/>
        <v>26.632654225227547</v>
      </c>
      <c r="C167">
        <f t="shared" si="13"/>
        <v>532.65308450455097</v>
      </c>
      <c r="D167">
        <f>MATCH(B167,Battery!B:B,-1)</f>
        <v>22</v>
      </c>
      <c r="E167" cm="1">
        <f t="array" ref="E167">INDEX(Battery!C:C,D167+1)+(INDEX(Battery!C:C,D167)-INDEX(Battery!C:C,D167+1))/(INDEX(Battery!B:B,D167)-INDEX(Battery!C:C,B167+1))*(B167-INDEX(Battery!C:C,B167+1))</f>
        <v>3.7184173656380501</v>
      </c>
      <c r="F167">
        <f t="shared" si="15"/>
        <v>3.6634173656380504</v>
      </c>
      <c r="G167">
        <f>MATCH(F167,Load!C$3:C$15,1)</f>
        <v>6</v>
      </c>
      <c r="H167">
        <f t="shared" si="16"/>
        <v>88.448532463419937</v>
      </c>
      <c r="I167">
        <f t="shared" si="14"/>
        <v>8.8448532463418044</v>
      </c>
    </row>
    <row r="168" spans="1:9" x14ac:dyDescent="0.3">
      <c r="A168">
        <v>16.399999999999999</v>
      </c>
      <c r="B168">
        <f t="shared" si="4"/>
        <v>26.190411562910459</v>
      </c>
      <c r="C168">
        <f t="shared" si="13"/>
        <v>523.80823125820916</v>
      </c>
      <c r="D168">
        <f>MATCH(B168,Battery!B:B,-1)</f>
        <v>22</v>
      </c>
      <c r="E168" cm="1">
        <f t="array" ref="E168">INDEX(Battery!C:C,D168+1)+(INDEX(Battery!C:C,D168)-INDEX(Battery!C:C,D168+1))/(INDEX(Battery!B:B,D168)-INDEX(Battery!C:C,B168+1))*(B168-INDEX(Battery!C:C,B168+1))</f>
        <v>3.7181430317881872</v>
      </c>
      <c r="F168">
        <f t="shared" si="15"/>
        <v>3.6631430317881875</v>
      </c>
      <c r="G168">
        <f>MATCH(F168,Load!C$3:C$15,1)</f>
        <v>6</v>
      </c>
      <c r="H168">
        <f t="shared" si="16"/>
        <v>88.442332518413039</v>
      </c>
      <c r="I168">
        <f t="shared" si="14"/>
        <v>8.8442332518414304</v>
      </c>
    </row>
    <row r="169" spans="1:9" x14ac:dyDescent="0.3">
      <c r="A169">
        <v>16.5</v>
      </c>
      <c r="B169">
        <f t="shared" si="4"/>
        <v>25.74819990031839</v>
      </c>
      <c r="C169">
        <f t="shared" si="13"/>
        <v>514.96399800636777</v>
      </c>
      <c r="D169">
        <f>MATCH(B169,Battery!B:B,-1)</f>
        <v>23</v>
      </c>
      <c r="E169" cm="1">
        <f t="array" ref="E169">INDEX(Battery!C:C,D169+1)+(INDEX(Battery!C:C,D169)-INDEX(Battery!C:C,D169+1))/(INDEX(Battery!B:B,D169)-INDEX(Battery!C:C,B169+1))*(B169-INDEX(Battery!C:C,B169+1))</f>
        <v>3.7038323258190395</v>
      </c>
      <c r="F169">
        <f t="shared" si="15"/>
        <v>3.6488323258190398</v>
      </c>
      <c r="G169">
        <f>MATCH(F169,Load!C$3:C$15,1)</f>
        <v>6</v>
      </c>
      <c r="H169">
        <f t="shared" si="16"/>
        <v>88.118910563510298</v>
      </c>
      <c r="I169">
        <f t="shared" si="14"/>
        <v>8.8118910563511541</v>
      </c>
    </row>
    <row r="170" spans="1:9" x14ac:dyDescent="0.3">
      <c r="A170">
        <v>16.600000000000001</v>
      </c>
      <c r="B170">
        <f t="shared" si="4"/>
        <v>25.307605347500832</v>
      </c>
      <c r="C170">
        <f t="shared" si="13"/>
        <v>506.15210695001662</v>
      </c>
      <c r="D170">
        <f>MATCH(B170,Battery!B:B,-1)</f>
        <v>23</v>
      </c>
      <c r="E170" cm="1">
        <f t="array" ref="E170">INDEX(Battery!C:C,D170+1)+(INDEX(Battery!C:C,D170)-INDEX(Battery!C:C,D170+1))/(INDEX(Battery!B:B,D170)-INDEX(Battery!C:C,B170+1))*(B170-INDEX(Battery!C:C,B170+1))</f>
        <v>3.7033709274511986</v>
      </c>
      <c r="F170">
        <f t="shared" si="15"/>
        <v>3.6483709274511988</v>
      </c>
      <c r="G170">
        <f>MATCH(F170,Load!C$3:C$15,1)</f>
        <v>6</v>
      </c>
      <c r="H170">
        <f t="shared" si="16"/>
        <v>88.108482960397097</v>
      </c>
      <c r="I170">
        <f t="shared" si="14"/>
        <v>8.8108482960395218</v>
      </c>
    </row>
    <row r="171" spans="1:9" x14ac:dyDescent="0.3">
      <c r="A171">
        <v>16.7</v>
      </c>
      <c r="B171">
        <f t="shared" si="4"/>
        <v>24.867062932698854</v>
      </c>
      <c r="C171">
        <f t="shared" si="13"/>
        <v>497.34125865397709</v>
      </c>
      <c r="D171">
        <f>MATCH(B171,Battery!B:B,-1)</f>
        <v>23</v>
      </c>
      <c r="E171" cm="1">
        <f t="array" ref="E171">INDEX(Battery!C:C,D171+1)+(INDEX(Battery!C:C,D171)-INDEX(Battery!C:C,D171+1))/(INDEX(Battery!B:B,D171)-INDEX(Battery!C:C,B171+1))*(B171-INDEX(Battery!C:C,B171+1))</f>
        <v>3.7029083000170768</v>
      </c>
      <c r="F171">
        <f t="shared" si="15"/>
        <v>3.6479083000170771</v>
      </c>
      <c r="G171">
        <f>MATCH(F171,Load!C$3:C$15,1)</f>
        <v>6</v>
      </c>
      <c r="H171">
        <f t="shared" si="16"/>
        <v>88.098027580385946</v>
      </c>
      <c r="I171">
        <f t="shared" si="14"/>
        <v>8.8098027580387193</v>
      </c>
    </row>
    <row r="172" spans="1:9" x14ac:dyDescent="0.3">
      <c r="A172">
        <v>16.8</v>
      </c>
      <c r="B172">
        <f t="shared" si="4"/>
        <v>24.426572794796918</v>
      </c>
      <c r="C172">
        <f t="shared" si="13"/>
        <v>488.53145589593839</v>
      </c>
      <c r="D172">
        <f>MATCH(B172,Battery!B:B,-1)</f>
        <v>23</v>
      </c>
      <c r="E172" cm="1">
        <f t="array" ref="E172">INDEX(Battery!C:C,D172+1)+(INDEX(Battery!C:C,D172)-INDEX(Battery!C:C,D172+1))/(INDEX(Battery!B:B,D172)-INDEX(Battery!C:C,B172+1))*(B172-INDEX(Battery!C:C,B172+1))</f>
        <v>3.7024465274179823</v>
      </c>
      <c r="F172">
        <f t="shared" si="15"/>
        <v>3.6474465274179826</v>
      </c>
      <c r="G172">
        <f>MATCH(F172,Load!C$3:C$15,1)</f>
        <v>6</v>
      </c>
      <c r="H172">
        <f t="shared" si="16"/>
        <v>88.087591519646409</v>
      </c>
      <c r="I172">
        <f t="shared" si="14"/>
        <v>8.8087591519644537</v>
      </c>
    </row>
    <row r="173" spans="1:9" x14ac:dyDescent="0.3">
      <c r="A173">
        <v>16.899999999999999</v>
      </c>
      <c r="B173">
        <f t="shared" si="4"/>
        <v>23.986134837198698</v>
      </c>
      <c r="C173">
        <f t="shared" si="13"/>
        <v>479.72269674397393</v>
      </c>
      <c r="D173">
        <f>MATCH(B173,Battery!B:B,-1)</f>
        <v>23</v>
      </c>
      <c r="E173" cm="1">
        <f t="array" ref="E173">INDEX(Battery!C:C,D173+1)+(INDEX(Battery!C:C,D173)-INDEX(Battery!C:C,D173+1))/(INDEX(Battery!B:B,D173)-INDEX(Battery!C:C,B173+1))*(B173-INDEX(Battery!C:C,B173+1))</f>
        <v>3.7019822529444282</v>
      </c>
      <c r="F173">
        <f t="shared" si="15"/>
        <v>3.6469822529444285</v>
      </c>
      <c r="G173">
        <f>MATCH(F173,Load!C$3:C$15,1)</f>
        <v>6</v>
      </c>
      <c r="H173">
        <f t="shared" si="16"/>
        <v>88.077098916544088</v>
      </c>
      <c r="I173">
        <f t="shared" si="14"/>
        <v>8.8077098916545342</v>
      </c>
    </row>
    <row r="174" spans="1:9" x14ac:dyDescent="0.3">
      <c r="A174">
        <v>17</v>
      </c>
      <c r="B174">
        <f t="shared" si="4"/>
        <v>23.545749342615967</v>
      </c>
      <c r="C174">
        <f t="shared" si="13"/>
        <v>470.91498685231937</v>
      </c>
      <c r="D174">
        <f>MATCH(B174,Battery!B:B,-1)</f>
        <v>23</v>
      </c>
      <c r="E174" cm="1">
        <f t="array" ref="E174">INDEX(Battery!C:C,D174+1)+(INDEX(Battery!C:C,D174)-INDEX(Battery!C:C,D174+1))/(INDEX(Battery!B:B,D174)-INDEX(Battery!C:C,B174+1))*(B174-INDEX(Battery!C:C,B174+1))</f>
        <v>3.7015200408944082</v>
      </c>
      <c r="F174">
        <f t="shared" si="15"/>
        <v>3.6465200408944085</v>
      </c>
      <c r="G174">
        <f>MATCH(F174,Load!C$3:C$15,1)</f>
        <v>6</v>
      </c>
      <c r="H174">
        <f t="shared" si="16"/>
        <v>88.066652924213628</v>
      </c>
      <c r="I174">
        <f t="shared" si="14"/>
        <v>8.8066652924214885</v>
      </c>
    </row>
    <row r="175" spans="1:9" x14ac:dyDescent="0.3">
      <c r="A175">
        <v>17.100000000000001</v>
      </c>
      <c r="B175">
        <f t="shared" si="4"/>
        <v>23.105416077994896</v>
      </c>
      <c r="C175">
        <f t="shared" si="13"/>
        <v>462.10832155989789</v>
      </c>
      <c r="D175">
        <f>MATCH(B175,Battery!B:B,-1)</f>
        <v>23</v>
      </c>
      <c r="E175" cm="1">
        <f t="array" ref="E175">INDEX(Battery!C:C,D175+1)+(INDEX(Battery!C:C,D175)-INDEX(Battery!C:C,D175+1))/(INDEX(Battery!B:B,D175)-INDEX(Battery!C:C,B175+1))*(B175-INDEX(Battery!C:C,B175+1))</f>
        <v>3.7010578836629917</v>
      </c>
      <c r="F175">
        <f t="shared" si="15"/>
        <v>3.646057883662992</v>
      </c>
      <c r="G175">
        <f>MATCH(F175,Load!C$3:C$15,1)</f>
        <v>6</v>
      </c>
      <c r="H175">
        <f t="shared" si="16"/>
        <v>88.05620817078362</v>
      </c>
      <c r="I175">
        <f t="shared" si="14"/>
        <v>8.8056208170781751</v>
      </c>
    </row>
    <row r="176" spans="1:9" x14ac:dyDescent="0.3">
      <c r="A176">
        <v>17.2</v>
      </c>
      <c r="B176">
        <f t="shared" si="4"/>
        <v>22.665135037140985</v>
      </c>
      <c r="C176">
        <f t="shared" si="13"/>
        <v>453.3027007428197</v>
      </c>
      <c r="D176">
        <f>MATCH(B176,Battery!B:B,-1)</f>
        <v>23</v>
      </c>
      <c r="E176" cm="1">
        <f t="array" ref="E176">INDEX(Battery!C:C,D176+1)+(INDEX(Battery!C:C,D176)-INDEX(Battery!C:C,D176+1))/(INDEX(Battery!B:B,D176)-INDEX(Battery!C:C,B176+1))*(B176-INDEX(Battery!C:C,B176+1))</f>
        <v>3.7005920636687879</v>
      </c>
      <c r="F176">
        <f t="shared" si="15"/>
        <v>3.6455920636687882</v>
      </c>
      <c r="G176">
        <f>MATCH(F176,Load!C$3:C$15,1)</f>
        <v>6</v>
      </c>
      <c r="H176">
        <f t="shared" si="16"/>
        <v>88.045680638914618</v>
      </c>
      <c r="I176">
        <f t="shared" si="14"/>
        <v>8.8045680638915869</v>
      </c>
    </row>
    <row r="177" spans="1:9" x14ac:dyDescent="0.3">
      <c r="A177">
        <v>17.3</v>
      </c>
      <c r="B177">
        <f t="shared" si="4"/>
        <v>22.224906633946407</v>
      </c>
      <c r="C177">
        <f t="shared" si="13"/>
        <v>444.49813267892813</v>
      </c>
      <c r="D177">
        <f>MATCH(B177,Battery!B:B,-1)</f>
        <v>23</v>
      </c>
      <c r="E177" cm="1">
        <f t="array" ref="E177">INDEX(Battery!C:C,D177+1)+(INDEX(Battery!C:C,D177)-INDEX(Battery!C:C,D177+1))/(INDEX(Battery!B:B,D177)-INDEX(Battery!C:C,B177+1))*(B177-INDEX(Battery!C:C,B177+1))</f>
        <v>3.70012953103913</v>
      </c>
      <c r="F177">
        <f t="shared" si="15"/>
        <v>3.6451295310391303</v>
      </c>
      <c r="G177">
        <f>MATCH(F177,Load!C$3:C$15,1)</f>
        <v>6</v>
      </c>
      <c r="H177">
        <f t="shared" si="16"/>
        <v>88.035227401484349</v>
      </c>
      <c r="I177">
        <f t="shared" si="14"/>
        <v>8.8035227401482476</v>
      </c>
    </row>
    <row r="178" spans="1:9" x14ac:dyDescent="0.3">
      <c r="A178">
        <v>17.399999999999999</v>
      </c>
      <c r="B178">
        <f t="shared" si="4"/>
        <v>21.784730496938995</v>
      </c>
      <c r="C178">
        <f t="shared" si="13"/>
        <v>435.69460993877988</v>
      </c>
      <c r="D178">
        <f>MATCH(B178,Battery!B:B,-1)</f>
        <v>23</v>
      </c>
      <c r="E178" cm="1">
        <f t="array" ref="E178">INDEX(Battery!C:C,D178+1)+(INDEX(Battery!C:C,D178)-INDEX(Battery!C:C,D178+1))/(INDEX(Battery!B:B,D178)-INDEX(Battery!C:C,B178+1))*(B178-INDEX(Battery!C:C,B178+1))</f>
        <v>3.6996636088675769</v>
      </c>
      <c r="F178">
        <f t="shared" si="15"/>
        <v>3.6446636088675772</v>
      </c>
      <c r="G178">
        <f>MATCH(F178,Load!C$3:C$15,1)</f>
        <v>6</v>
      </c>
      <c r="H178">
        <f t="shared" si="16"/>
        <v>88.024697560407247</v>
      </c>
      <c r="I178">
        <f t="shared" si="14"/>
        <v>8.8024697560408498</v>
      </c>
    </row>
    <row r="179" spans="1:9" x14ac:dyDescent="0.3">
      <c r="A179">
        <v>17.5</v>
      </c>
      <c r="B179">
        <f t="shared" si="4"/>
        <v>21.344607009136951</v>
      </c>
      <c r="C179">
        <f t="shared" si="13"/>
        <v>426.89214018273901</v>
      </c>
      <c r="D179">
        <f>MATCH(B179,Battery!B:B,-1)</f>
        <v>23</v>
      </c>
      <c r="E179" cm="1">
        <f t="array" ref="E179">INDEX(Battery!C:C,D179+1)+(INDEX(Battery!C:C,D179)-INDEX(Battery!C:C,D179+1))/(INDEX(Battery!B:B,D179)-INDEX(Battery!C:C,B179+1))*(B179-INDEX(Battery!C:C,B179+1))</f>
        <v>3.6992008299025945</v>
      </c>
      <c r="F179">
        <f t="shared" si="15"/>
        <v>3.6442008299025948</v>
      </c>
      <c r="G179">
        <f>MATCH(F179,Load!C$3:C$15,1)</f>
        <v>6</v>
      </c>
      <c r="H179">
        <f t="shared" si="16"/>
        <v>88.014238755798644</v>
      </c>
      <c r="I179">
        <f t="shared" si="14"/>
        <v>8.8014238755799887</v>
      </c>
    </row>
    <row r="180" spans="1:9" x14ac:dyDescent="0.3">
      <c r="A180">
        <v>17.600000000000001</v>
      </c>
      <c r="B180">
        <f t="shared" si="4"/>
        <v>20.904535815357953</v>
      </c>
      <c r="C180">
        <f t="shared" si="13"/>
        <v>418.09071630715903</v>
      </c>
      <c r="D180">
        <f>MATCH(B180,Battery!B:B,-1)</f>
        <v>24</v>
      </c>
      <c r="E180" cm="1">
        <f t="array" ref="E180">INDEX(Battery!C:C,D180+1)+(INDEX(Battery!C:C,D180)-INDEX(Battery!C:C,D180+1))/(INDEX(Battery!B:B,D180)-INDEX(Battery!C:C,B180+1))*(B180-INDEX(Battery!C:C,B180+1))</f>
        <v>3.6806071882304585</v>
      </c>
      <c r="F180">
        <f t="shared" si="15"/>
        <v>3.6256071882304588</v>
      </c>
      <c r="G180">
        <f>MATCH(F180,Load!C$3:C$15,1)</f>
        <v>6</v>
      </c>
      <c r="H180">
        <f t="shared" si="16"/>
        <v>87.594022454008368</v>
      </c>
      <c r="I180">
        <f t="shared" si="14"/>
        <v>8.7594022454006506</v>
      </c>
    </row>
    <row r="181" spans="1:9" x14ac:dyDescent="0.3">
      <c r="A181">
        <v>17.7</v>
      </c>
      <c r="B181">
        <f t="shared" si="4"/>
        <v>20.466565703087916</v>
      </c>
      <c r="C181">
        <f t="shared" si="13"/>
        <v>409.33131406175835</v>
      </c>
      <c r="D181">
        <f>MATCH(B181,Battery!B:B,-1)</f>
        <v>24</v>
      </c>
      <c r="E181" cm="1">
        <f t="array" ref="E181">INDEX(Battery!C:C,D181+1)+(INDEX(Battery!C:C,D181)-INDEX(Battery!C:C,D181+1))/(INDEX(Battery!B:B,D181)-INDEX(Battery!C:C,B181+1))*(B181-INDEX(Battery!C:C,B181+1))</f>
        <v>3.6799304557601671</v>
      </c>
      <c r="F181">
        <f t="shared" si="15"/>
        <v>3.6249304557601674</v>
      </c>
      <c r="G181">
        <f>MATCH(F181,Load!C$3:C$15,1)</f>
        <v>6</v>
      </c>
      <c r="H181">
        <f t="shared" si="16"/>
        <v>87.57872830017979</v>
      </c>
      <c r="I181">
        <f t="shared" si="14"/>
        <v>8.757872830018103</v>
      </c>
    </row>
    <row r="182" spans="1:9" x14ac:dyDescent="0.3">
      <c r="A182">
        <v>17.8</v>
      </c>
      <c r="B182">
        <f t="shared" si="4"/>
        <v>20.02867206158701</v>
      </c>
      <c r="C182">
        <f t="shared" si="13"/>
        <v>400.57344123174022</v>
      </c>
      <c r="D182">
        <f>MATCH(B182,Battery!B:B,-1)</f>
        <v>24</v>
      </c>
      <c r="E182" cm="1">
        <f t="array" ref="E182">INDEX(Battery!C:C,D182+1)+(INDEX(Battery!C:C,D182)-INDEX(Battery!C:C,D182+1))/(INDEX(Battery!B:B,D182)-INDEX(Battery!C:C,B182+1))*(B182-INDEX(Battery!C:C,B182+1))</f>
        <v>3.6792538414491998</v>
      </c>
      <c r="F182">
        <f t="shared" si="15"/>
        <v>3.6242538414492</v>
      </c>
      <c r="G182">
        <f>MATCH(F182,Load!C$3:C$15,1)</f>
        <v>6</v>
      </c>
      <c r="H182">
        <f t="shared" si="16"/>
        <v>87.563436816751917</v>
      </c>
      <c r="I182">
        <f t="shared" si="14"/>
        <v>8.7563436816750055</v>
      </c>
    </row>
    <row r="183" spans="1:9" x14ac:dyDescent="0.3">
      <c r="A183">
        <v>17.899999999999999</v>
      </c>
      <c r="B183">
        <f t="shared" si="4"/>
        <v>19.590854877503261</v>
      </c>
      <c r="C183">
        <f t="shared" si="13"/>
        <v>391.81709755006523</v>
      </c>
      <c r="D183">
        <f>MATCH(B183,Battery!B:B,-1)</f>
        <v>24</v>
      </c>
      <c r="E183" cm="1">
        <f t="array" ref="E183">INDEX(Battery!C:C,D183+1)+(INDEX(Battery!C:C,D183)-INDEX(Battery!C:C,D183+1))/(INDEX(Battery!B:B,D183)-INDEX(Battery!C:C,B183+1))*(B183-INDEX(Battery!C:C,B183+1))</f>
        <v>3.6785754411355707</v>
      </c>
      <c r="F183">
        <f t="shared" si="15"/>
        <v>3.623575441135571</v>
      </c>
      <c r="G183">
        <f>MATCH(F183,Load!C$3:C$15,1)</f>
        <v>6</v>
      </c>
      <c r="H183">
        <f t="shared" si="16"/>
        <v>87.54810496966391</v>
      </c>
      <c r="I183">
        <f t="shared" si="14"/>
        <v>8.754810496966515</v>
      </c>
    </row>
    <row r="184" spans="1:9" x14ac:dyDescent="0.3">
      <c r="A184">
        <v>18</v>
      </c>
      <c r="B184">
        <f t="shared" si="4"/>
        <v>19.153114352654935</v>
      </c>
      <c r="C184">
        <f t="shared" si="13"/>
        <v>383.06228705309871</v>
      </c>
      <c r="D184">
        <f>MATCH(B184,Battery!B:B,-1)</f>
        <v>24</v>
      </c>
      <c r="E184" cm="1">
        <f t="array" ref="E184">INDEX(Battery!C:C,D184+1)+(INDEX(Battery!C:C,D184)-INDEX(Battery!C:C,D184+1))/(INDEX(Battery!B:B,D184)-INDEX(Battery!C:C,B184+1))*(B184-INDEX(Battery!C:C,B184+1))</f>
        <v>3.6778984480844747</v>
      </c>
      <c r="F184">
        <f t="shared" si="15"/>
        <v>3.622898448084475</v>
      </c>
      <c r="G184">
        <f>MATCH(F184,Load!C$3:C$15,1)</f>
        <v>6</v>
      </c>
      <c r="H184">
        <f t="shared" si="16"/>
        <v>87.532804926709133</v>
      </c>
      <c r="I184">
        <f t="shared" si="14"/>
        <v>8.7532804926710384</v>
      </c>
    </row>
    <row r="185" spans="1:9" x14ac:dyDescent="0.3">
      <c r="A185">
        <v>18.100000000000001</v>
      </c>
      <c r="B185">
        <f t="shared" ref="B185:B225" si="17">C185/C$4*100</f>
        <v>18.715450328021387</v>
      </c>
      <c r="C185">
        <f t="shared" ref="C185:C225" si="18">C184-I184</f>
        <v>374.30900656042769</v>
      </c>
      <c r="D185">
        <f>MATCH(B185,Battery!B:B,-1)</f>
        <v>24</v>
      </c>
      <c r="E185" cm="1">
        <f t="array" ref="E185">INDEX(Battery!C:C,D185+1)+(INDEX(Battery!C:C,D185)-INDEX(Battery!C:C,D185+1))/(INDEX(Battery!B:B,D185)-INDEX(Battery!C:C,B185+1))*(B185-INDEX(Battery!C:C,B185+1))</f>
        <v>3.6772174897109804</v>
      </c>
      <c r="F185">
        <f t="shared" si="15"/>
        <v>3.6222174897109807</v>
      </c>
      <c r="G185">
        <f>MATCH(F185,Load!C$3:C$15,1)</f>
        <v>6</v>
      </c>
      <c r="H185">
        <f t="shared" si="16"/>
        <v>87.517415267468166</v>
      </c>
      <c r="I185">
        <f t="shared" ref="I185:I225" si="19">H185*(A186-A185)</f>
        <v>8.7517415267466294</v>
      </c>
    </row>
    <row r="186" spans="1:9" x14ac:dyDescent="0.3">
      <c r="A186">
        <v>18.2</v>
      </c>
      <c r="B186">
        <f t="shared" si="17"/>
        <v>18.277863251684053</v>
      </c>
      <c r="C186">
        <f t="shared" si="18"/>
        <v>365.55726503368106</v>
      </c>
      <c r="D186">
        <f>MATCH(B186,Battery!B:B,-1)</f>
        <v>24</v>
      </c>
      <c r="E186" cm="1">
        <f t="array" ref="E186">INDEX(Battery!C:C,D186+1)+(INDEX(Battery!C:C,D186)-INDEX(Battery!C:C,D186+1))/(INDEX(Battery!B:B,D186)-INDEX(Battery!C:C,B186+1))*(B186-INDEX(Battery!C:C,B186+1))</f>
        <v>3.6765399326551371</v>
      </c>
      <c r="F186">
        <f t="shared" si="15"/>
        <v>3.6215399326551374</v>
      </c>
      <c r="G186">
        <f>MATCH(F186,Load!C$3:C$15,1)</f>
        <v>6</v>
      </c>
      <c r="H186">
        <f t="shared" si="16"/>
        <v>87.502102478006108</v>
      </c>
      <c r="I186">
        <f t="shared" si="19"/>
        <v>8.7502102478007355</v>
      </c>
    </row>
    <row r="187" spans="1:9" x14ac:dyDescent="0.3">
      <c r="A187">
        <v>18.3</v>
      </c>
      <c r="B187">
        <f t="shared" si="17"/>
        <v>17.840352739294016</v>
      </c>
      <c r="C187">
        <f t="shared" si="18"/>
        <v>356.80705478588033</v>
      </c>
      <c r="D187">
        <f>MATCH(B187,Battery!B:B,-1)</f>
        <v>24</v>
      </c>
      <c r="E187" cm="1">
        <f t="array" ref="E187">INDEX(Battery!C:C,D187+1)+(INDEX(Battery!C:C,D187)-INDEX(Battery!C:C,D187+1))/(INDEX(Battery!B:B,D187)-INDEX(Battery!C:C,B187+1))*(B187-INDEX(Battery!C:C,B187+1))</f>
        <v>3.6758567945127556</v>
      </c>
      <c r="F187">
        <f t="shared" si="15"/>
        <v>3.6208567945127559</v>
      </c>
      <c r="G187">
        <f>MATCH(F187,Load!C$3:C$15,1)</f>
        <v>6</v>
      </c>
      <c r="H187">
        <f t="shared" si="16"/>
        <v>87.486663555988287</v>
      </c>
      <c r="I187">
        <f t="shared" si="19"/>
        <v>8.7486663555986421</v>
      </c>
    </row>
    <row r="188" spans="1:9" x14ac:dyDescent="0.3">
      <c r="A188">
        <v>18.399999999999999</v>
      </c>
      <c r="B188">
        <f t="shared" si="17"/>
        <v>17.402919421514085</v>
      </c>
      <c r="C188">
        <f t="shared" si="18"/>
        <v>348.0583884302817</v>
      </c>
      <c r="D188">
        <f>MATCH(B188,Battery!B:B,-1)</f>
        <v>24</v>
      </c>
      <c r="E188" cm="1">
        <f t="array" ref="E188">INDEX(Battery!C:C,D188+1)+(INDEX(Battery!C:C,D188)-INDEX(Battery!C:C,D188+1))/(INDEX(Battery!B:B,D188)-INDEX(Battery!C:C,B188+1))*(B188-INDEX(Battery!C:C,B188+1))</f>
        <v>3.6751786725932298</v>
      </c>
      <c r="F188">
        <f t="shared" si="15"/>
        <v>3.6201786725932301</v>
      </c>
      <c r="G188">
        <f>MATCH(F188,Load!C$3:C$15,1)</f>
        <v>6</v>
      </c>
      <c r="H188">
        <f t="shared" si="16"/>
        <v>87.471338000607005</v>
      </c>
      <c r="I188">
        <f t="shared" si="19"/>
        <v>8.7471338000608245</v>
      </c>
    </row>
    <row r="189" spans="1:9" x14ac:dyDescent="0.3">
      <c r="A189">
        <v>18.5</v>
      </c>
      <c r="B189">
        <f t="shared" si="17"/>
        <v>16.965562731511042</v>
      </c>
      <c r="C189">
        <f t="shared" si="18"/>
        <v>339.31125463022084</v>
      </c>
      <c r="D189">
        <f>MATCH(B189,Battery!B:B,-1)</f>
        <v>24</v>
      </c>
      <c r="E189" cm="1">
        <f t="array" ref="E189">INDEX(Battery!C:C,D189+1)+(INDEX(Battery!C:C,D189)-INDEX(Battery!C:C,D189+1))/(INDEX(Battery!B:B,D189)-INDEX(Battery!C:C,B189+1))*(B189-INDEX(Battery!C:C,B189+1))</f>
        <v>3.674491090137034</v>
      </c>
      <c r="F189">
        <f t="shared" si="15"/>
        <v>3.6194910901370343</v>
      </c>
      <c r="G189">
        <f>MATCH(F189,Load!C$3:C$15,1)</f>
        <v>6</v>
      </c>
      <c r="H189">
        <f t="shared" si="16"/>
        <v>87.455798637096976</v>
      </c>
      <c r="I189">
        <f t="shared" si="19"/>
        <v>8.7455798637098212</v>
      </c>
    </row>
    <row r="190" spans="1:9" x14ac:dyDescent="0.3">
      <c r="A190">
        <v>18.600000000000001</v>
      </c>
      <c r="B190">
        <f t="shared" si="17"/>
        <v>16.528283738325552</v>
      </c>
      <c r="C190">
        <f t="shared" si="18"/>
        <v>330.56567476651105</v>
      </c>
      <c r="D190">
        <f>MATCH(B190,Battery!B:B,-1)</f>
        <v>25</v>
      </c>
      <c r="E190" cm="1">
        <f t="array" ref="E190">INDEX(Battery!C:C,D190+1)+(INDEX(Battery!C:C,D190)-INDEX(Battery!C:C,D190+1))/(INDEX(Battery!B:B,D190)-INDEX(Battery!C:C,B190+1))*(B190-INDEX(Battery!C:C,B190+1))</f>
        <v>3.6537165226010435</v>
      </c>
      <c r="F190">
        <f t="shared" si="15"/>
        <v>3.5987165226010438</v>
      </c>
      <c r="G190">
        <f>MATCH(F190,Load!C$3:C$15,1)</f>
        <v>5</v>
      </c>
      <c r="H190">
        <f t="shared" si="16"/>
        <v>86.986293410783588</v>
      </c>
      <c r="I190">
        <f t="shared" si="19"/>
        <v>8.6986293410781741</v>
      </c>
    </row>
    <row r="191" spans="1:9" x14ac:dyDescent="0.3">
      <c r="A191">
        <v>18.7</v>
      </c>
      <c r="B191">
        <f t="shared" si="17"/>
        <v>16.093352271271645</v>
      </c>
      <c r="C191">
        <f t="shared" si="18"/>
        <v>321.86704542543288</v>
      </c>
      <c r="D191">
        <f>MATCH(B191,Battery!B:B,-1)</f>
        <v>25</v>
      </c>
      <c r="E191" cm="1">
        <f t="array" ref="E191">INDEX(Battery!C:C,D191+1)+(INDEX(Battery!C:C,D191)-INDEX(Battery!C:C,D191+1))/(INDEX(Battery!B:B,D191)-INDEX(Battery!C:C,B191+1))*(B191-INDEX(Battery!C:C,B191+1))</f>
        <v>3.6529259783591819</v>
      </c>
      <c r="F191">
        <f t="shared" si="15"/>
        <v>3.5979259783591822</v>
      </c>
      <c r="G191">
        <f>MATCH(F191,Load!C$3:C$15,1)</f>
        <v>5</v>
      </c>
      <c r="H191">
        <f t="shared" si="16"/>
        <v>86.968427110917517</v>
      </c>
      <c r="I191">
        <f t="shared" si="19"/>
        <v>8.6968427110918753</v>
      </c>
    </row>
    <row r="192" spans="1:9" x14ac:dyDescent="0.3">
      <c r="A192">
        <v>18.8</v>
      </c>
      <c r="B192">
        <f t="shared" si="17"/>
        <v>15.658510135717052</v>
      </c>
      <c r="C192">
        <f t="shared" si="18"/>
        <v>313.17020271434103</v>
      </c>
      <c r="D192">
        <f>MATCH(B192,Battery!B:B,-1)</f>
        <v>25</v>
      </c>
      <c r="E192" cm="1">
        <f t="array" ref="E192">INDEX(Battery!C:C,D192+1)+(INDEX(Battery!C:C,D192)-INDEX(Battery!C:C,D192+1))/(INDEX(Battery!B:B,D192)-INDEX(Battery!C:C,B192+1))*(B192-INDEX(Battery!C:C,B192+1))</f>
        <v>3.6521313500740811</v>
      </c>
      <c r="F192">
        <f t="shared" si="15"/>
        <v>3.5971313500740814</v>
      </c>
      <c r="G192">
        <f>MATCH(F192,Load!C$3:C$15,1)</f>
        <v>5</v>
      </c>
      <c r="H192">
        <f t="shared" si="16"/>
        <v>86.950468511674245</v>
      </c>
      <c r="I192">
        <f t="shared" si="19"/>
        <v>8.6950468511672394</v>
      </c>
    </row>
    <row r="193" spans="1:9" x14ac:dyDescent="0.3">
      <c r="A193">
        <v>18.899999999999999</v>
      </c>
      <c r="B193">
        <f t="shared" si="17"/>
        <v>15.223757793158688</v>
      </c>
      <c r="C193">
        <f t="shared" si="18"/>
        <v>304.47515586317377</v>
      </c>
      <c r="D193">
        <f>MATCH(B193,Battery!B:B,-1)</f>
        <v>25</v>
      </c>
      <c r="E193" cm="1">
        <f t="array" ref="E193">INDEX(Battery!C:C,D193+1)+(INDEX(Battery!C:C,D193)-INDEX(Battery!C:C,D193+1))/(INDEX(Battery!B:B,D193)-INDEX(Battery!C:C,B193+1))*(B193-INDEX(Battery!C:C,B193+1))</f>
        <v>3.6513394040539606</v>
      </c>
      <c r="F193">
        <f t="shared" si="15"/>
        <v>3.5963394040539609</v>
      </c>
      <c r="G193">
        <f>MATCH(F193,Load!C$3:C$15,1)</f>
        <v>5</v>
      </c>
      <c r="H193">
        <f t="shared" si="16"/>
        <v>86.932570531619518</v>
      </c>
      <c r="I193">
        <f t="shared" si="19"/>
        <v>8.6932570531620748</v>
      </c>
    </row>
    <row r="194" spans="1:9" x14ac:dyDescent="0.3">
      <c r="A194">
        <v>19</v>
      </c>
      <c r="B194">
        <f t="shared" si="17"/>
        <v>14.789094940500583</v>
      </c>
      <c r="C194">
        <f t="shared" si="18"/>
        <v>295.78189881001168</v>
      </c>
      <c r="D194">
        <f>MATCH(B194,Battery!B:B,-1)</f>
        <v>25</v>
      </c>
      <c r="E194" cm="1">
        <f t="array" ref="E194">INDEX(Battery!C:C,D194+1)+(INDEX(Battery!C:C,D194)-INDEX(Battery!C:C,D194+1))/(INDEX(Battery!B:B,D194)-INDEX(Battery!C:C,B194+1))*(B194-INDEX(Battery!C:C,B194+1))</f>
        <v>3.6505394558631838</v>
      </c>
      <c r="F194">
        <f t="shared" si="15"/>
        <v>3.5955394558631841</v>
      </c>
      <c r="G194">
        <f>MATCH(F194,Load!C$3:C$15,1)</f>
        <v>5</v>
      </c>
      <c r="H194">
        <f t="shared" si="16"/>
        <v>86.914491702507959</v>
      </c>
      <c r="I194">
        <f t="shared" si="19"/>
        <v>8.6914491702509196</v>
      </c>
    </row>
    <row r="195" spans="1:9" x14ac:dyDescent="0.3">
      <c r="A195">
        <v>19.100000000000001</v>
      </c>
      <c r="B195">
        <f t="shared" si="17"/>
        <v>14.354522481988038</v>
      </c>
      <c r="C195">
        <f t="shared" si="18"/>
        <v>287.09044963976078</v>
      </c>
      <c r="D195">
        <f>MATCH(B195,Battery!B:B,-1)</f>
        <v>25</v>
      </c>
      <c r="E195" cm="1">
        <f t="array" ref="E195">INDEX(Battery!C:C,D195+1)+(INDEX(Battery!C:C,D195)-INDEX(Battery!C:C,D195+1))/(INDEX(Battery!B:B,D195)-INDEX(Battery!C:C,B195+1))*(B195-INDEX(Battery!C:C,B195+1))</f>
        <v>3.6497460067471059</v>
      </c>
      <c r="F195">
        <f t="shared" si="15"/>
        <v>3.5947460067471062</v>
      </c>
      <c r="G195">
        <f>MATCH(F195,Load!C$3:C$15,1)</f>
        <v>5</v>
      </c>
      <c r="H195">
        <f t="shared" si="16"/>
        <v>86.896559752484606</v>
      </c>
      <c r="I195">
        <f t="shared" si="19"/>
        <v>8.6896559752482752</v>
      </c>
    </row>
    <row r="196" spans="1:9" x14ac:dyDescent="0.3">
      <c r="A196">
        <v>19.2</v>
      </c>
      <c r="B196">
        <f t="shared" si="17"/>
        <v>13.920039683225625</v>
      </c>
      <c r="C196">
        <f t="shared" si="18"/>
        <v>278.40079366451249</v>
      </c>
      <c r="D196">
        <f>MATCH(B196,Battery!B:B,-1)</f>
        <v>26</v>
      </c>
      <c r="E196" cm="1">
        <f t="array" ref="E196">INDEX(Battery!C:C,D196+1)+(INDEX(Battery!C:C,D196)-INDEX(Battery!C:C,D196+1))/(INDEX(Battery!B:B,D196)-INDEX(Battery!C:C,B196+1))*(B196-INDEX(Battery!C:C,B196+1))</f>
        <v>3.6303449540255528</v>
      </c>
      <c r="F196">
        <f t="shared" ref="F196:F259" si="20">MIN($K$3,E196-$L$3)-$M$3</f>
        <v>3.5753449540255531</v>
      </c>
      <c r="G196">
        <f>MATCH(F196,Load!C$3:C$15,1)</f>
        <v>5</v>
      </c>
      <c r="H196">
        <f t="shared" ref="H196:H251" si="21" xml:space="preserve"> 22.6* F196+ 5.5703+$N$3*0.001</f>
        <v>86.458095960977502</v>
      </c>
      <c r="I196">
        <f t="shared" si="19"/>
        <v>8.6458095960978731</v>
      </c>
    </row>
    <row r="197" spans="1:9" x14ac:dyDescent="0.3">
      <c r="A197">
        <v>19.3</v>
      </c>
      <c r="B197">
        <f t="shared" si="17"/>
        <v>13.487749203420732</v>
      </c>
      <c r="C197">
        <f t="shared" si="18"/>
        <v>269.75498406841461</v>
      </c>
      <c r="D197">
        <f>MATCH(B197,Battery!B:B,-1)</f>
        <v>26</v>
      </c>
      <c r="E197" cm="1">
        <f t="array" ref="E197">INDEX(Battery!C:C,D197+1)+(INDEX(Battery!C:C,D197)-INDEX(Battery!C:C,D197+1))/(INDEX(Battery!B:B,D197)-INDEX(Battery!C:C,B197+1))*(B197-INDEX(Battery!C:C,B197+1))</f>
        <v>3.6293430820949593</v>
      </c>
      <c r="F197">
        <f t="shared" si="20"/>
        <v>3.5743430820949595</v>
      </c>
      <c r="G197">
        <f>MATCH(F197,Load!C$3:C$15,1)</f>
        <v>5</v>
      </c>
      <c r="H197">
        <f t="shared" si="21"/>
        <v>86.435453655346095</v>
      </c>
      <c r="I197">
        <f t="shared" si="19"/>
        <v>8.6435453655344254</v>
      </c>
    </row>
    <row r="198" spans="1:9" x14ac:dyDescent="0.3">
      <c r="A198">
        <v>19.399999999999999</v>
      </c>
      <c r="B198">
        <f t="shared" si="17"/>
        <v>13.055571935144011</v>
      </c>
      <c r="C198">
        <f t="shared" si="18"/>
        <v>261.11143870288021</v>
      </c>
      <c r="D198">
        <f>MATCH(B198,Battery!B:B,-1)</f>
        <v>26</v>
      </c>
      <c r="E198" cm="1">
        <f t="array" ref="E198">INDEX(Battery!C:C,D198+1)+(INDEX(Battery!C:C,D198)-INDEX(Battery!C:C,D198+1))/(INDEX(Battery!B:B,D198)-INDEX(Battery!C:C,B198+1))*(B198-INDEX(Battery!C:C,B198+1))</f>
        <v>3.6283414725422287</v>
      </c>
      <c r="F198">
        <f t="shared" si="20"/>
        <v>3.573341472542229</v>
      </c>
      <c r="G198">
        <f>MATCH(F198,Load!C$3:C$15,1)</f>
        <v>5</v>
      </c>
      <c r="H198">
        <f t="shared" si="21"/>
        <v>86.412817279454373</v>
      </c>
      <c r="I198">
        <f t="shared" si="19"/>
        <v>8.6412817279455609</v>
      </c>
    </row>
    <row r="199" spans="1:9" x14ac:dyDescent="0.3">
      <c r="A199">
        <v>19.5</v>
      </c>
      <c r="B199">
        <f t="shared" si="17"/>
        <v>12.623507848746732</v>
      </c>
      <c r="C199">
        <f t="shared" si="18"/>
        <v>252.47015697493464</v>
      </c>
      <c r="D199">
        <f>MATCH(B199,Battery!B:B,-1)</f>
        <v>26</v>
      </c>
      <c r="E199" cm="1">
        <f t="array" ref="E199">INDEX(Battery!C:C,D199+1)+(INDEX(Battery!C:C,D199)-INDEX(Battery!C:C,D199+1))/(INDEX(Battery!B:B,D199)-INDEX(Battery!C:C,B199+1))*(B199-INDEX(Battery!C:C,B199+1))</f>
        <v>3.6273299756469797</v>
      </c>
      <c r="F199">
        <f t="shared" si="20"/>
        <v>3.57232997564698</v>
      </c>
      <c r="G199">
        <f>MATCH(F199,Load!C$3:C$15,1)</f>
        <v>5</v>
      </c>
      <c r="H199">
        <f t="shared" si="21"/>
        <v>86.389957449621747</v>
      </c>
      <c r="I199">
        <f t="shared" si="19"/>
        <v>8.6389957449622976</v>
      </c>
    </row>
    <row r="200" spans="1:9" x14ac:dyDescent="0.3">
      <c r="A200">
        <v>19.600000000000001</v>
      </c>
      <c r="B200">
        <f t="shared" si="17"/>
        <v>12.191558061498617</v>
      </c>
      <c r="C200">
        <f t="shared" si="18"/>
        <v>243.83116122997234</v>
      </c>
      <c r="D200">
        <f>MATCH(B200,Battery!B:B,-1)</f>
        <v>26</v>
      </c>
      <c r="E200" cm="1">
        <f t="array" ref="E200">INDEX(Battery!C:C,D200+1)+(INDEX(Battery!C:C,D200)-INDEX(Battery!C:C,D200+1))/(INDEX(Battery!B:B,D200)-INDEX(Battery!C:C,B200+1))*(B200-INDEX(Battery!C:C,B200+1))</f>
        <v>3.6263257902490422</v>
      </c>
      <c r="F200">
        <f t="shared" si="20"/>
        <v>3.5713257902490425</v>
      </c>
      <c r="G200">
        <f>MATCH(F200,Load!C$3:C$15,1)</f>
        <v>5</v>
      </c>
      <c r="H200">
        <f t="shared" si="21"/>
        <v>86.367262859628369</v>
      </c>
      <c r="I200">
        <f t="shared" si="19"/>
        <v>8.6367262859626521</v>
      </c>
    </row>
    <row r="201" spans="1:9" x14ac:dyDescent="0.3">
      <c r="A201">
        <v>19.7</v>
      </c>
      <c r="B201">
        <f t="shared" si="17"/>
        <v>11.759721747200484</v>
      </c>
      <c r="C201">
        <f t="shared" si="18"/>
        <v>235.19443494400969</v>
      </c>
      <c r="D201">
        <f>MATCH(B201,Battery!B:B,-1)</f>
        <v>26</v>
      </c>
      <c r="E201" cm="1">
        <f t="array" ref="E201">INDEX(Battery!C:C,D201+1)+(INDEX(Battery!C:C,D201)-INDEX(Battery!C:C,D201+1))/(INDEX(Battery!B:B,D201)-INDEX(Battery!C:C,B201+1))*(B201-INDEX(Battery!C:C,B201+1))</f>
        <v>3.6253054120017314</v>
      </c>
      <c r="F201">
        <f t="shared" si="20"/>
        <v>3.5703054120017317</v>
      </c>
      <c r="G201">
        <f>MATCH(F201,Load!C$3:C$15,1)</f>
        <v>5</v>
      </c>
      <c r="H201">
        <f t="shared" si="21"/>
        <v>86.344202311239144</v>
      </c>
      <c r="I201">
        <f t="shared" si="19"/>
        <v>8.6344202311240377</v>
      </c>
    </row>
    <row r="202" spans="1:9" x14ac:dyDescent="0.3">
      <c r="A202">
        <v>19.8</v>
      </c>
      <c r="B202">
        <f t="shared" si="17"/>
        <v>11.328000735644283</v>
      </c>
      <c r="C202">
        <f t="shared" si="18"/>
        <v>226.56001471288565</v>
      </c>
      <c r="D202">
        <f>MATCH(B202,Battery!B:B,-1)</f>
        <v>28</v>
      </c>
      <c r="E202" cm="1">
        <f t="array" ref="E202">INDEX(Battery!C:C,D202+1)+(INDEX(Battery!C:C,D202)-INDEX(Battery!C:C,D202+1))/(INDEX(Battery!B:B,D202)-INDEX(Battery!C:C,B202+1))*(B202-INDEX(Battery!C:C,B202+1))</f>
        <v>3.6064727934187268</v>
      </c>
      <c r="F202">
        <f t="shared" si="20"/>
        <v>3.5514727934187271</v>
      </c>
      <c r="G202">
        <f>MATCH(F202,Load!C$3:C$15,1)</f>
        <v>5</v>
      </c>
      <c r="H202">
        <f t="shared" si="21"/>
        <v>85.918585131263228</v>
      </c>
      <c r="I202">
        <f t="shared" si="19"/>
        <v>8.5918585131261391</v>
      </c>
    </row>
    <row r="203" spans="1:9" x14ac:dyDescent="0.3">
      <c r="A203">
        <v>19.899999999999999</v>
      </c>
      <c r="B203">
        <f t="shared" si="17"/>
        <v>10.898407809987976</v>
      </c>
      <c r="C203">
        <f t="shared" si="18"/>
        <v>217.96815619975951</v>
      </c>
      <c r="D203">
        <f>MATCH(B203,Battery!B:B,-1)</f>
        <v>28</v>
      </c>
      <c r="E203" cm="1">
        <f t="array" ref="E203">INDEX(Battery!C:C,D203+1)+(INDEX(Battery!C:C,D203)-INDEX(Battery!C:C,D203+1))/(INDEX(Battery!B:B,D203)-INDEX(Battery!C:C,B203+1))*(B203-INDEX(Battery!C:C,B203+1))</f>
        <v>3.604672815694991</v>
      </c>
      <c r="F203">
        <f t="shared" si="20"/>
        <v>3.5496728156949913</v>
      </c>
      <c r="G203">
        <f>MATCH(F203,Load!C$3:C$15,1)</f>
        <v>5</v>
      </c>
      <c r="H203">
        <f t="shared" si="21"/>
        <v>85.877905634706806</v>
      </c>
      <c r="I203">
        <f t="shared" si="19"/>
        <v>8.5877905634708025</v>
      </c>
    </row>
    <row r="204" spans="1:9" x14ac:dyDescent="0.3">
      <c r="A204">
        <v>20</v>
      </c>
      <c r="B204">
        <f t="shared" si="17"/>
        <v>10.469018281814435</v>
      </c>
      <c r="C204">
        <f t="shared" si="18"/>
        <v>209.3803656362887</v>
      </c>
      <c r="D204">
        <f>MATCH(B204,Battery!B:B,-1)</f>
        <v>28</v>
      </c>
      <c r="E204" cm="1">
        <f t="array" ref="E204">INDEX(Battery!C:C,D204+1)+(INDEX(Battery!C:C,D204)-INDEX(Battery!C:C,D204+1))/(INDEX(Battery!B:B,D204)-INDEX(Battery!C:C,B204+1))*(B204-INDEX(Battery!C:C,B204+1))</f>
        <v>3.6028769498801738</v>
      </c>
      <c r="F204">
        <f t="shared" si="20"/>
        <v>3.5478769498801741</v>
      </c>
      <c r="G204">
        <f>MATCH(F204,Load!C$3:C$15,1)</f>
        <v>5</v>
      </c>
      <c r="H204">
        <f t="shared" si="21"/>
        <v>85.837319067291943</v>
      </c>
      <c r="I204">
        <f t="shared" si="19"/>
        <v>8.5837319067293159</v>
      </c>
    </row>
    <row r="205" spans="1:9" x14ac:dyDescent="0.3">
      <c r="A205">
        <v>20.100000000000001</v>
      </c>
      <c r="B205">
        <f t="shared" si="17"/>
        <v>10.039831686477969</v>
      </c>
      <c r="C205">
        <f t="shared" si="18"/>
        <v>200.79663372955937</v>
      </c>
      <c r="D205">
        <f>MATCH(B205,Battery!B:B,-1)</f>
        <v>28</v>
      </c>
      <c r="E205" cm="1">
        <f t="array" ref="E205">INDEX(Battery!C:C,D205+1)+(INDEX(Battery!C:C,D205)-INDEX(Battery!C:C,D205+1))/(INDEX(Battery!B:B,D205)-INDEX(Battery!C:C,B205+1))*(B205-INDEX(Battery!C:C,B205+1))</f>
        <v>3.6010819328055357</v>
      </c>
      <c r="F205">
        <f t="shared" si="20"/>
        <v>3.546081932805536</v>
      </c>
      <c r="G205">
        <f>MATCH(F205,Load!C$3:C$15,1)</f>
        <v>5</v>
      </c>
      <c r="H205">
        <f t="shared" si="21"/>
        <v>85.796751681405112</v>
      </c>
      <c r="I205">
        <f t="shared" si="19"/>
        <v>8.5796751681403283</v>
      </c>
    </row>
    <row r="206" spans="1:9" x14ac:dyDescent="0.3">
      <c r="A206">
        <v>20.2</v>
      </c>
      <c r="B206">
        <f t="shared" si="17"/>
        <v>9.6108479280709513</v>
      </c>
      <c r="C206">
        <f t="shared" si="18"/>
        <v>192.21695856141903</v>
      </c>
      <c r="D206">
        <f>MATCH(B206,Battery!B:B,-1)</f>
        <v>28</v>
      </c>
      <c r="E206" cm="1">
        <f t="array" ref="E206">INDEX(Battery!C:C,D206+1)+(INDEX(Battery!C:C,D206)-INDEX(Battery!C:C,D206+1))/(INDEX(Battery!B:B,D206)-INDEX(Battery!C:C,B206+1))*(B206-INDEX(Battery!C:C,B206+1))</f>
        <v>3.599254739597296</v>
      </c>
      <c r="F206">
        <f t="shared" si="20"/>
        <v>3.5442547395972963</v>
      </c>
      <c r="G206">
        <f>MATCH(F206,Load!C$3:C$15,1)</f>
        <v>5</v>
      </c>
      <c r="H206">
        <f t="shared" si="21"/>
        <v>85.755457114898903</v>
      </c>
      <c r="I206">
        <f t="shared" si="19"/>
        <v>8.5755457114985436</v>
      </c>
    </row>
    <row r="207" spans="1:9" x14ac:dyDescent="0.3">
      <c r="A207">
        <v>20.3000000000001</v>
      </c>
      <c r="B207">
        <f t="shared" si="17"/>
        <v>9.1820706424960257</v>
      </c>
      <c r="C207">
        <f t="shared" si="18"/>
        <v>183.6414128499205</v>
      </c>
      <c r="D207">
        <f>MATCH(B207,Battery!B:B,-1)</f>
        <v>28</v>
      </c>
      <c r="E207" cm="1">
        <f t="array" ref="E207">INDEX(Battery!C:C,D207+1)+(INDEX(Battery!C:C,D207)-INDEX(Battery!C:C,D207+1))/(INDEX(Battery!B:B,D207)-INDEX(Battery!C:C,B207+1))*(B207-INDEX(Battery!C:C,B207+1))</f>
        <v>3.5974539026268535</v>
      </c>
      <c r="F207">
        <f t="shared" si="20"/>
        <v>3.5424539026268538</v>
      </c>
      <c r="G207">
        <f>MATCH(F207,Load!C$3:C$15,1)</f>
        <v>5</v>
      </c>
      <c r="H207">
        <f t="shared" si="21"/>
        <v>85.714758199366898</v>
      </c>
      <c r="I207">
        <f t="shared" si="19"/>
        <v>8.571475819927981</v>
      </c>
    </row>
    <row r="208" spans="1:9" x14ac:dyDescent="0.3">
      <c r="A208">
        <v>20.399999999999999</v>
      </c>
      <c r="B208">
        <f t="shared" si="17"/>
        <v>8.7534968514996265</v>
      </c>
      <c r="C208">
        <f t="shared" si="18"/>
        <v>175.06993702999253</v>
      </c>
      <c r="D208">
        <f>MATCH(B208,Battery!B:B,-1)</f>
        <v>29</v>
      </c>
      <c r="E208" cm="1">
        <f t="array" ref="E208">INDEX(Battery!C:C,D208+1)+(INDEX(Battery!C:C,D208)-INDEX(Battery!C:C,D208+1))/(INDEX(Battery!B:B,D208)-INDEX(Battery!C:C,B208+1))*(B208-INDEX(Battery!C:C,B208+1))</f>
        <v>3.5732305162548323</v>
      </c>
      <c r="F208">
        <f t="shared" si="20"/>
        <v>3.5182305162548326</v>
      </c>
      <c r="G208">
        <f>MATCH(F208,Load!C$3:C$15,1)</f>
        <v>5</v>
      </c>
      <c r="H208">
        <f t="shared" si="21"/>
        <v>85.16730966735922</v>
      </c>
      <c r="I208">
        <f t="shared" si="19"/>
        <v>8.5167309667360431</v>
      </c>
    </row>
    <row r="209" spans="1:9" x14ac:dyDescent="0.3">
      <c r="A209">
        <v>20.5</v>
      </c>
      <c r="B209">
        <f t="shared" si="17"/>
        <v>8.3276603031628245</v>
      </c>
      <c r="C209">
        <f t="shared" si="18"/>
        <v>166.55320606325648</v>
      </c>
      <c r="D209">
        <f>MATCH(B209,Battery!B:B,-1)</f>
        <v>29</v>
      </c>
      <c r="E209" cm="1">
        <f t="array" ref="E209">INDEX(Battery!C:C,D209+1)+(INDEX(Battery!C:C,D209)-INDEX(Battery!C:C,D209+1))/(INDEX(Battery!B:B,D209)-INDEX(Battery!C:C,B209+1))*(B209-INDEX(Battery!C:C,B209+1))</f>
        <v>3.5699043840051545</v>
      </c>
      <c r="F209">
        <f t="shared" si="20"/>
        <v>3.5149043840051548</v>
      </c>
      <c r="G209">
        <f>MATCH(F209,Load!C$3:C$15,1)</f>
        <v>5</v>
      </c>
      <c r="H209">
        <f t="shared" si="21"/>
        <v>85.092139078516496</v>
      </c>
      <c r="I209">
        <f t="shared" si="19"/>
        <v>8.5092139078602358</v>
      </c>
    </row>
    <row r="210" spans="1:9" x14ac:dyDescent="0.3">
      <c r="A210">
        <v>20.600000000000101</v>
      </c>
      <c r="B210">
        <f t="shared" si="17"/>
        <v>7.9021996077698127</v>
      </c>
      <c r="C210">
        <f t="shared" si="18"/>
        <v>158.04399215539624</v>
      </c>
      <c r="D210">
        <f>MATCH(B210,Battery!B:B,-1)</f>
        <v>29</v>
      </c>
      <c r="E210" cm="1">
        <f t="array" ref="E210">INDEX(Battery!C:C,D210+1)+(INDEX(Battery!C:C,D210)-INDEX(Battery!C:C,D210+1))/(INDEX(Battery!B:B,D210)-INDEX(Battery!C:C,B210+1))*(B210-INDEX(Battery!C:C,B210+1))</f>
        <v>3.5665462458421442</v>
      </c>
      <c r="F210">
        <f t="shared" si="20"/>
        <v>3.5115462458421445</v>
      </c>
      <c r="G210">
        <f>MATCH(F210,Load!C$3:C$15,1)</f>
        <v>5</v>
      </c>
      <c r="H210">
        <f t="shared" si="21"/>
        <v>85.016245156032468</v>
      </c>
      <c r="I210">
        <f t="shared" si="19"/>
        <v>8.5016245155946084</v>
      </c>
    </row>
    <row r="211" spans="1:9" x14ac:dyDescent="0.3">
      <c r="A211">
        <v>20.7</v>
      </c>
      <c r="B211">
        <f t="shared" si="17"/>
        <v>7.4771183819900822</v>
      </c>
      <c r="C211">
        <f t="shared" si="18"/>
        <v>149.54236763980163</v>
      </c>
      <c r="D211">
        <f>MATCH(B211,Battery!B:B,-1)</f>
        <v>29</v>
      </c>
      <c r="E211" cm="1">
        <f t="array" ref="E211">INDEX(Battery!C:C,D211+1)+(INDEX(Battery!C:C,D211)-INDEX(Battery!C:C,D211+1))/(INDEX(Battery!B:B,D211)-INDEX(Battery!C:C,B211+1))*(B211-INDEX(Battery!C:C,B211+1))</f>
        <v>3.5632135181929145</v>
      </c>
      <c r="F211">
        <f t="shared" si="20"/>
        <v>3.5082135181929148</v>
      </c>
      <c r="G211">
        <f>MATCH(F211,Load!C$3:C$15,1)</f>
        <v>4</v>
      </c>
      <c r="H211">
        <f t="shared" si="21"/>
        <v>84.940925511159875</v>
      </c>
      <c r="I211">
        <f t="shared" si="19"/>
        <v>8.4940925511245577</v>
      </c>
    </row>
    <row r="212" spans="1:9" x14ac:dyDescent="0.3">
      <c r="A212">
        <v>20.8000000000001</v>
      </c>
      <c r="B212">
        <f t="shared" si="17"/>
        <v>7.0524137544338537</v>
      </c>
      <c r="C212">
        <f t="shared" si="18"/>
        <v>141.04827508867706</v>
      </c>
      <c r="D212">
        <f>MATCH(B212,Battery!B:B,-1)</f>
        <v>29</v>
      </c>
      <c r="E212" cm="1">
        <f t="array" ref="E212">INDEX(Battery!C:C,D212+1)+(INDEX(Battery!C:C,D212)-INDEX(Battery!C:C,D212+1))/(INDEX(Battery!B:B,D212)-INDEX(Battery!C:C,B212+1))*(B212-INDEX(Battery!C:C,B212+1))</f>
        <v>3.5598837431542361</v>
      </c>
      <c r="F212">
        <f t="shared" si="20"/>
        <v>3.5048837431542363</v>
      </c>
      <c r="G212">
        <f>MATCH(F212,Load!C$3:C$15,1)</f>
        <v>4</v>
      </c>
      <c r="H212">
        <f t="shared" si="21"/>
        <v>84.865672595285744</v>
      </c>
      <c r="I212">
        <f t="shared" si="19"/>
        <v>8.4865672595286945</v>
      </c>
    </row>
    <row r="213" spans="1:9" x14ac:dyDescent="0.3">
      <c r="A213">
        <v>20.900000000000102</v>
      </c>
      <c r="B213">
        <f t="shared" si="17"/>
        <v>6.628085391457418</v>
      </c>
      <c r="C213">
        <f t="shared" si="18"/>
        <v>132.56170782914836</v>
      </c>
      <c r="D213">
        <f>MATCH(B213,Battery!B:B,-1)</f>
        <v>30</v>
      </c>
      <c r="E213" cm="1">
        <f t="array" ref="E213">INDEX(Battery!C:C,D213+1)+(INDEX(Battery!C:C,D213)-INDEX(Battery!C:C,D213+1))/(INDEX(Battery!B:B,D213)-INDEX(Battery!C:C,B213+1))*(B213-INDEX(Battery!C:C,B213+1))</f>
        <v>3.5325128903128808</v>
      </c>
      <c r="F213">
        <f t="shared" si="20"/>
        <v>3.4775128903128811</v>
      </c>
      <c r="G213">
        <f>MATCH(F213,Load!C$3:C$15,1)</f>
        <v>4</v>
      </c>
      <c r="H213">
        <f t="shared" si="21"/>
        <v>84.24709132107111</v>
      </c>
      <c r="I213">
        <f t="shared" si="19"/>
        <v>8.4247091321069316</v>
      </c>
    </row>
    <row r="214" spans="1:9" x14ac:dyDescent="0.3">
      <c r="A214">
        <v>21.000000000000099</v>
      </c>
      <c r="B214">
        <f t="shared" si="17"/>
        <v>6.2068499348520723</v>
      </c>
      <c r="C214">
        <f t="shared" si="18"/>
        <v>124.13699869704143</v>
      </c>
      <c r="D214">
        <f>MATCH(B214,Battery!B:B,-1)</f>
        <v>30</v>
      </c>
      <c r="E214" cm="1">
        <f t="array" ref="E214">INDEX(Battery!C:C,D214+1)+(INDEX(Battery!C:C,D214)-INDEX(Battery!C:C,D214+1))/(INDEX(Battery!B:B,D214)-INDEX(Battery!C:C,B214+1))*(B214-INDEX(Battery!C:C,B214+1))</f>
        <v>3.5274554040110964</v>
      </c>
      <c r="F214">
        <f t="shared" si="20"/>
        <v>3.4724554040110966</v>
      </c>
      <c r="G214">
        <f>MATCH(F214,Load!C$3:C$15,1)</f>
        <v>4</v>
      </c>
      <c r="H214">
        <f t="shared" si="21"/>
        <v>84.132792130650785</v>
      </c>
      <c r="I214">
        <f t="shared" si="19"/>
        <v>8.4132792130651985</v>
      </c>
    </row>
    <row r="215" spans="1:9" x14ac:dyDescent="0.3">
      <c r="A215">
        <v>21.100000000000101</v>
      </c>
      <c r="B215">
        <f t="shared" si="17"/>
        <v>5.786185974198812</v>
      </c>
      <c r="C215">
        <f t="shared" si="18"/>
        <v>115.72371948397624</v>
      </c>
      <c r="D215">
        <f>MATCH(B215,Battery!B:B,-1)</f>
        <v>31</v>
      </c>
      <c r="E215" cm="1">
        <f t="array" ref="E215">INDEX(Battery!C:C,D215+1)+(INDEX(Battery!C:C,D215)-INDEX(Battery!C:C,D215+1))/(INDEX(Battery!B:B,D215)-INDEX(Battery!C:C,B215+1))*(B215-INDEX(Battery!C:C,B215+1))</f>
        <v>3.501460439935177</v>
      </c>
      <c r="F215">
        <f t="shared" si="20"/>
        <v>3.4464604399351773</v>
      </c>
      <c r="G215">
        <f>MATCH(F215,Load!C$3:C$15,1)</f>
        <v>3</v>
      </c>
      <c r="H215">
        <f t="shared" si="21"/>
        <v>83.545305942535009</v>
      </c>
      <c r="I215">
        <f t="shared" si="19"/>
        <v>8.3545305942533226</v>
      </c>
    </row>
    <row r="216" spans="1:9" x14ac:dyDescent="0.3">
      <c r="A216">
        <v>21.200000000000099</v>
      </c>
      <c r="B216">
        <f t="shared" si="17"/>
        <v>5.3684594444861462</v>
      </c>
      <c r="C216">
        <f t="shared" si="18"/>
        <v>107.36918888972292</v>
      </c>
      <c r="D216">
        <f>MATCH(B216,Battery!B:B,-1)</f>
        <v>31</v>
      </c>
      <c r="E216" cm="1">
        <f t="array" ref="E216">INDEX(Battery!C:C,D216+1)+(INDEX(Battery!C:C,D216)-INDEX(Battery!C:C,D216+1))/(INDEX(Battery!B:B,D216)-INDEX(Battery!C:C,B216+1))*(B216-INDEX(Battery!C:C,B216+1))</f>
        <v>3.4898942017191077</v>
      </c>
      <c r="F216">
        <f t="shared" si="20"/>
        <v>3.434894201719108</v>
      </c>
      <c r="G216">
        <f>MATCH(F216,Load!C$3:C$15,1)</f>
        <v>3</v>
      </c>
      <c r="H216">
        <f t="shared" si="21"/>
        <v>83.283908958851839</v>
      </c>
      <c r="I216">
        <f t="shared" si="19"/>
        <v>8.3283908958853026</v>
      </c>
    </row>
    <row r="217" spans="1:9" x14ac:dyDescent="0.3">
      <c r="A217">
        <v>21.3000000000001</v>
      </c>
      <c r="B217">
        <f t="shared" si="17"/>
        <v>4.9520398996918802</v>
      </c>
      <c r="C217">
        <f t="shared" si="18"/>
        <v>99.040797993837614</v>
      </c>
      <c r="D217">
        <f>MATCH(B217,Battery!B:B,-1)</f>
        <v>31</v>
      </c>
      <c r="E217" cm="1">
        <f t="array" ref="E217">INDEX(Battery!C:C,D217+1)+(INDEX(Battery!C:C,D217)-INDEX(Battery!C:C,D217+1))/(INDEX(Battery!B:B,D217)-INDEX(Battery!C:C,B217+1))*(B217-INDEX(Battery!C:C,B217+1))</f>
        <v>3.4781407459371407</v>
      </c>
      <c r="F217">
        <f t="shared" si="20"/>
        <v>3.423140745937141</v>
      </c>
      <c r="G217">
        <f>MATCH(F217,Load!C$3:C$15,1)</f>
        <v>3</v>
      </c>
      <c r="H217">
        <f t="shared" si="21"/>
        <v>83.018280858179395</v>
      </c>
      <c r="I217">
        <f t="shared" si="19"/>
        <v>8.3018280858180571</v>
      </c>
    </row>
    <row r="218" spans="1:9" x14ac:dyDescent="0.3">
      <c r="A218">
        <v>21.400000000000102</v>
      </c>
      <c r="B218">
        <f t="shared" si="17"/>
        <v>4.5369484954009778</v>
      </c>
      <c r="C218">
        <f t="shared" si="18"/>
        <v>90.738969908019556</v>
      </c>
      <c r="D218">
        <f>MATCH(B218,Battery!B:B,-1)</f>
        <v>32</v>
      </c>
      <c r="E218" cm="1">
        <f t="array" ref="E218">INDEX(Battery!C:C,D218+1)+(INDEX(Battery!C:C,D218)-INDEX(Battery!C:C,D218+1))/(INDEX(Battery!B:B,D218)-INDEX(Battery!C:C,B218+1))*(B218-INDEX(Battery!C:C,B218+1))</f>
        <v>3.4501894411170011</v>
      </c>
      <c r="F218">
        <f t="shared" si="20"/>
        <v>3.3951894411170014</v>
      </c>
      <c r="G218">
        <f>MATCH(F218,Load!C$3:C$15,1)</f>
        <v>2</v>
      </c>
      <c r="H218">
        <f t="shared" si="21"/>
        <v>82.386581369244226</v>
      </c>
      <c r="I218">
        <f t="shared" si="19"/>
        <v>8.2386581369242471</v>
      </c>
    </row>
    <row r="219" spans="1:9" x14ac:dyDescent="0.3">
      <c r="A219">
        <v>21.500000000000099</v>
      </c>
      <c r="B219">
        <f t="shared" si="17"/>
        <v>4.1250155885547652</v>
      </c>
      <c r="C219">
        <f t="shared" si="18"/>
        <v>82.500311771095312</v>
      </c>
      <c r="D219">
        <f>MATCH(B219,Battery!B:B,-1)</f>
        <v>32</v>
      </c>
      <c r="E219" cm="1">
        <f t="array" ref="E219">INDEX(Battery!C:C,D219+1)+(INDEX(Battery!C:C,D219)-INDEX(Battery!C:C,D219+1))/(INDEX(Battery!B:B,D219)-INDEX(Battery!C:C,B219+1))*(B219-INDEX(Battery!C:C,B219+1))</f>
        <v>3.402169412501765</v>
      </c>
      <c r="F219">
        <f t="shared" si="20"/>
        <v>3.3471694125017653</v>
      </c>
      <c r="G219">
        <f>MATCH(F219,Load!C$3:C$15,1)</f>
        <v>2</v>
      </c>
      <c r="H219">
        <f t="shared" si="21"/>
        <v>81.301328722539893</v>
      </c>
      <c r="I219">
        <f t="shared" si="19"/>
        <v>8.1301328722541051</v>
      </c>
    </row>
    <row r="220" spans="1:9" x14ac:dyDescent="0.3">
      <c r="A220">
        <v>21.600000000000101</v>
      </c>
      <c r="B220">
        <f t="shared" si="17"/>
        <v>3.7185089449420601</v>
      </c>
      <c r="C220">
        <f t="shared" si="18"/>
        <v>74.370178898841203</v>
      </c>
      <c r="D220">
        <f>MATCH(B220,Battery!B:B,-1)</f>
        <v>32</v>
      </c>
      <c r="E220" cm="1">
        <f t="array" ref="E220">INDEX(Battery!C:C,D220+1)+(INDEX(Battery!C:C,D220)-INDEX(Battery!C:C,D220+1))/(INDEX(Battery!B:B,D220)-INDEX(Battery!C:C,B220+1))*(B220-INDEX(Battery!C:C,B220+1))</f>
        <v>3.3503270688363305</v>
      </c>
      <c r="F220">
        <f t="shared" si="20"/>
        <v>3.2953270688363308</v>
      </c>
      <c r="G220">
        <f>MATCH(F220,Load!C$3:C$15,1)</f>
        <v>1</v>
      </c>
      <c r="H220">
        <f t="shared" si="21"/>
        <v>80.129691755701074</v>
      </c>
      <c r="I220">
        <f t="shared" si="19"/>
        <v>8.0129691755699373</v>
      </c>
    </row>
    <row r="221" spans="1:9" x14ac:dyDescent="0.3">
      <c r="A221">
        <v>21.700000000000099</v>
      </c>
      <c r="B221">
        <f t="shared" si="17"/>
        <v>3.3178604861635632</v>
      </c>
      <c r="C221">
        <f t="shared" si="18"/>
        <v>66.357209723271268</v>
      </c>
      <c r="D221">
        <f>MATCH(B221,Battery!B:B,-1)</f>
        <v>33</v>
      </c>
      <c r="E221" cm="1">
        <f t="array" ref="E221">INDEX(Battery!C:C,D221+1)+(INDEX(Battery!C:C,D221)-INDEX(Battery!C:C,D221+1))/(INDEX(Battery!B:B,D221)-INDEX(Battery!C:C,B221+1))*(B221-INDEX(Battery!C:C,B221+1))</f>
        <v>3.4372426662337143</v>
      </c>
      <c r="F221">
        <f t="shared" si="20"/>
        <v>3.3822426662337146</v>
      </c>
      <c r="G221">
        <f>MATCH(F221,Load!C$3:C$15,1)</f>
        <v>2</v>
      </c>
      <c r="H221">
        <f t="shared" si="21"/>
        <v>82.093984256881953</v>
      </c>
      <c r="I221">
        <f t="shared" si="19"/>
        <v>8.2093984256883115</v>
      </c>
    </row>
    <row r="222" spans="1:9" x14ac:dyDescent="0.3">
      <c r="A222">
        <v>21.8000000000001</v>
      </c>
      <c r="B222">
        <f t="shared" si="17"/>
        <v>2.9073905648791474</v>
      </c>
      <c r="C222">
        <f t="shared" si="18"/>
        <v>58.147811297582955</v>
      </c>
      <c r="D222">
        <f>MATCH(B222,Battery!B:B,-1)</f>
        <v>33</v>
      </c>
      <c r="E222" cm="1">
        <f t="array" ref="E222">INDEX(Battery!C:C,D222+1)+(INDEX(Battery!C:C,D222)-INDEX(Battery!C:C,D222+1))/(INDEX(Battery!B:B,D222)-INDEX(Battery!C:C,B222+1))*(B222-INDEX(Battery!C:C,B222+1))</f>
        <v>3.4758864655625641</v>
      </c>
      <c r="F222">
        <f t="shared" si="20"/>
        <v>3.4208864655625644</v>
      </c>
      <c r="G222">
        <f>MATCH(F222,Load!C$3:C$15,1)</f>
        <v>3</v>
      </c>
      <c r="H222">
        <f t="shared" si="21"/>
        <v>82.967334121713961</v>
      </c>
      <c r="I222">
        <f t="shared" si="19"/>
        <v>8.2967334121715144</v>
      </c>
    </row>
    <row r="223" spans="1:9" x14ac:dyDescent="0.3">
      <c r="A223">
        <v>21.900000000000102</v>
      </c>
      <c r="B223">
        <f t="shared" si="17"/>
        <v>2.4925538942705718</v>
      </c>
      <c r="C223">
        <f t="shared" si="18"/>
        <v>49.851077885411442</v>
      </c>
      <c r="D223">
        <f>MATCH(B223,Battery!B:B,-1)</f>
        <v>34</v>
      </c>
      <c r="E223" cm="1">
        <f t="array" ref="E223">INDEX(Battery!C:C,D223+1)+(INDEX(Battery!C:C,D223)-INDEX(Battery!C:C,D223+1))/(INDEX(Battery!B:B,D223)-INDEX(Battery!C:C,B223+1))*(B223-INDEX(Battery!C:C,B223+1))</f>
        <v>3.3585631866649917</v>
      </c>
      <c r="F223">
        <f t="shared" si="20"/>
        <v>3.3035631866649919</v>
      </c>
      <c r="G223">
        <f>MATCH(F223,Load!C$3:C$15,1)</f>
        <v>1</v>
      </c>
      <c r="H223">
        <f t="shared" si="21"/>
        <v>80.315828018628821</v>
      </c>
      <c r="I223">
        <f t="shared" si="19"/>
        <v>8.0315828018627116</v>
      </c>
    </row>
    <row r="224" spans="1:9" x14ac:dyDescent="0.3">
      <c r="A224">
        <v>22.000000000000099</v>
      </c>
      <c r="B224">
        <f t="shared" si="17"/>
        <v>2.0909747541774366</v>
      </c>
      <c r="C224">
        <f t="shared" si="18"/>
        <v>41.81949508354873</v>
      </c>
      <c r="D224">
        <f>MATCH(B224,Battery!B:B,-1)</f>
        <v>35</v>
      </c>
      <c r="E224" cm="1">
        <f t="array" ref="E224">INDEX(Battery!C:C,D224+1)+(INDEX(Battery!C:C,D224)-INDEX(Battery!C:C,D224+1))/(INDEX(Battery!B:B,D224)-INDEX(Battery!C:C,B224+1))*(B224-INDEX(Battery!C:C,B224+1))</f>
        <v>3.3016833419394618</v>
      </c>
      <c r="F224">
        <f t="shared" si="20"/>
        <v>3.2466833419394621</v>
      </c>
      <c r="G224">
        <f>MATCH(F224,Load!C$3:C$15,1)</f>
        <v>1</v>
      </c>
      <c r="H224">
        <f t="shared" si="21"/>
        <v>79.030343527831846</v>
      </c>
      <c r="I224">
        <f t="shared" si="19"/>
        <v>7.9030343527832967</v>
      </c>
    </row>
    <row r="225" spans="1:9" x14ac:dyDescent="0.3">
      <c r="A225">
        <v>22.100000000000101</v>
      </c>
      <c r="B225">
        <f t="shared" si="17"/>
        <v>1.6958230365382718</v>
      </c>
      <c r="C225">
        <f t="shared" si="18"/>
        <v>33.916460730765436</v>
      </c>
      <c r="D225">
        <f>MATCH(B225,Battery!B:B,-1)</f>
        <v>35</v>
      </c>
      <c r="E225" cm="1">
        <f t="array" ref="E225">INDEX(Battery!C:C,D225+1)+(INDEX(Battery!C:C,D225)-INDEX(Battery!C:C,D225+1))/(INDEX(Battery!B:B,D225)-INDEX(Battery!C:C,B225+1))*(B225-INDEX(Battery!C:C,B225+1))</f>
        <v>3.3133083748506031</v>
      </c>
      <c r="F225">
        <f t="shared" si="20"/>
        <v>3.2583083748506034</v>
      </c>
      <c r="G225">
        <f>MATCH(F225,Load!C$3:C$15,1)</f>
        <v>1</v>
      </c>
      <c r="H225">
        <f t="shared" si="21"/>
        <v>79.293069271623636</v>
      </c>
      <c r="I225">
        <f t="shared" si="19"/>
        <v>7.9293069271621945</v>
      </c>
    </row>
    <row r="226" spans="1:9" x14ac:dyDescent="0.3">
      <c r="A226">
        <v>22.200000000000099</v>
      </c>
      <c r="B226">
        <f t="shared" ref="B226:B240" si="22">C226/C$4*100</f>
        <v>1.299357690180162</v>
      </c>
      <c r="C226">
        <f t="shared" ref="C226:C240" si="23">C225-I225</f>
        <v>25.987153803603242</v>
      </c>
      <c r="D226">
        <f>MATCH(B226,Battery!B:B,-1)</f>
        <v>36</v>
      </c>
      <c r="E226" cm="1">
        <f t="array" ref="E226">INDEX(Battery!C:C,D226+1)+(INDEX(Battery!C:C,D226)-INDEX(Battery!C:C,D226+1))/(INDEX(Battery!B:B,D226)-INDEX(Battery!C:C,B226+1))*(B226-INDEX(Battery!C:C,B226+1))</f>
        <v>3.2451752347544649</v>
      </c>
      <c r="F226">
        <f t="shared" si="20"/>
        <v>3.1901752347544652</v>
      </c>
      <c r="G226" t="e">
        <f>MATCH(F226,Load!C$3:C$15,1)</f>
        <v>#N/A</v>
      </c>
      <c r="H226">
        <f t="shared" si="21"/>
        <v>77.753260305450908</v>
      </c>
      <c r="I226">
        <f t="shared" ref="I226:I240" si="24">H226*(A227-A226)</f>
        <v>7.7753260305452017</v>
      </c>
    </row>
    <row r="227" spans="1:9" x14ac:dyDescent="0.3">
      <c r="A227">
        <v>22.3000000000001</v>
      </c>
      <c r="B227">
        <f t="shared" si="22"/>
        <v>0.91059138865290201</v>
      </c>
      <c r="C227">
        <f t="shared" si="23"/>
        <v>18.21182777305804</v>
      </c>
      <c r="D227">
        <f>MATCH(B227,Battery!B:B,-1)</f>
        <v>37</v>
      </c>
      <c r="E227" t="e" cm="1">
        <f t="array" ref="E227">INDEX(Battery!C:C,D227+1)+(INDEX(Battery!C:C,D227)-INDEX(Battery!C:C,D227+1))/(INDEX(Battery!B:B,D227)-INDEX(Battery!C:C,B227+1))*(B227-INDEX(Battery!C:C,B227+1))</f>
        <v>#VALUE!</v>
      </c>
      <c r="F227" t="e">
        <f t="shared" si="20"/>
        <v>#VALUE!</v>
      </c>
      <c r="G227" t="e">
        <f>MATCH(F227,Load!C$3:C$15,1)</f>
        <v>#VALUE!</v>
      </c>
      <c r="H227" t="e">
        <f t="shared" si="21"/>
        <v>#VALUE!</v>
      </c>
      <c r="I227" t="e">
        <f t="shared" si="24"/>
        <v>#VALUE!</v>
      </c>
    </row>
    <row r="228" spans="1:9" x14ac:dyDescent="0.3">
      <c r="A228">
        <v>22.400000000000102</v>
      </c>
      <c r="B228" t="e">
        <f t="shared" si="22"/>
        <v>#VALUE!</v>
      </c>
      <c r="C228" t="e">
        <f t="shared" si="23"/>
        <v>#VALUE!</v>
      </c>
      <c r="D228" t="e">
        <f>MATCH(B228,Battery!B:B,-1)</f>
        <v>#VALUE!</v>
      </c>
      <c r="E228" t="e" cm="1">
        <f t="array" ref="E228">INDEX(Battery!C:C,D228+1)+(INDEX(Battery!C:C,D228)-INDEX(Battery!C:C,D228+1))/(INDEX(Battery!B:B,D228)-INDEX(Battery!C:C,B228+1))*(B228-INDEX(Battery!C:C,B228+1))</f>
        <v>#VALUE!</v>
      </c>
      <c r="F228" t="e">
        <f t="shared" si="20"/>
        <v>#VALUE!</v>
      </c>
      <c r="G228" t="e">
        <f>MATCH(F228,Load!C$3:C$15,1)</f>
        <v>#VALUE!</v>
      </c>
      <c r="H228" t="e">
        <f t="shared" si="21"/>
        <v>#VALUE!</v>
      </c>
      <c r="I228" t="e">
        <f t="shared" si="24"/>
        <v>#VALUE!</v>
      </c>
    </row>
    <row r="229" spans="1:9" x14ac:dyDescent="0.3">
      <c r="A229">
        <v>22.500000000000099</v>
      </c>
      <c r="B229" t="e">
        <f t="shared" si="22"/>
        <v>#VALUE!</v>
      </c>
      <c r="C229" t="e">
        <f t="shared" si="23"/>
        <v>#VALUE!</v>
      </c>
      <c r="D229" t="e">
        <f>MATCH(B229,Battery!B:B,-1)</f>
        <v>#VALUE!</v>
      </c>
      <c r="E229" t="e" cm="1">
        <f t="array" ref="E229">INDEX(Battery!C:C,D229+1)+(INDEX(Battery!C:C,D229)-INDEX(Battery!C:C,D229+1))/(INDEX(Battery!B:B,D229)-INDEX(Battery!C:C,B229+1))*(B229-INDEX(Battery!C:C,B229+1))</f>
        <v>#VALUE!</v>
      </c>
      <c r="F229" t="e">
        <f t="shared" si="20"/>
        <v>#VALUE!</v>
      </c>
      <c r="G229" t="e">
        <f>MATCH(F229,Load!C$3:C$15,1)</f>
        <v>#VALUE!</v>
      </c>
      <c r="H229" t="e">
        <f t="shared" si="21"/>
        <v>#VALUE!</v>
      </c>
      <c r="I229" t="e">
        <f t="shared" si="24"/>
        <v>#VALUE!</v>
      </c>
    </row>
    <row r="230" spans="1:9" x14ac:dyDescent="0.3">
      <c r="A230">
        <v>22.600000000000101</v>
      </c>
      <c r="B230" t="e">
        <f t="shared" si="22"/>
        <v>#VALUE!</v>
      </c>
      <c r="C230" t="e">
        <f t="shared" si="23"/>
        <v>#VALUE!</v>
      </c>
      <c r="D230" t="e">
        <f>MATCH(B230,Battery!B:B,-1)</f>
        <v>#VALUE!</v>
      </c>
      <c r="E230" t="e" cm="1">
        <f t="array" ref="E230">INDEX(Battery!C:C,D230+1)+(INDEX(Battery!C:C,D230)-INDEX(Battery!C:C,D230+1))/(INDEX(Battery!B:B,D230)-INDEX(Battery!C:C,B230+1))*(B230-INDEX(Battery!C:C,B230+1))</f>
        <v>#VALUE!</v>
      </c>
      <c r="F230" t="e">
        <f t="shared" si="20"/>
        <v>#VALUE!</v>
      </c>
      <c r="G230" t="e">
        <f>MATCH(F230,Load!C$3:C$15,1)</f>
        <v>#VALUE!</v>
      </c>
      <c r="H230" t="e">
        <f t="shared" si="21"/>
        <v>#VALUE!</v>
      </c>
      <c r="I230" t="e">
        <f t="shared" si="24"/>
        <v>#VALUE!</v>
      </c>
    </row>
    <row r="231" spans="1:9" x14ac:dyDescent="0.3">
      <c r="A231">
        <v>22.700000000000099</v>
      </c>
      <c r="B231" t="e">
        <f t="shared" si="22"/>
        <v>#VALUE!</v>
      </c>
      <c r="C231" t="e">
        <f t="shared" si="23"/>
        <v>#VALUE!</v>
      </c>
      <c r="D231" t="e">
        <f>MATCH(B231,Battery!B:B,-1)</f>
        <v>#VALUE!</v>
      </c>
      <c r="E231" t="e" cm="1">
        <f t="array" ref="E231">INDEX(Battery!C:C,D231+1)+(INDEX(Battery!C:C,D231)-INDEX(Battery!C:C,D231+1))/(INDEX(Battery!B:B,D231)-INDEX(Battery!C:C,B231+1))*(B231-INDEX(Battery!C:C,B231+1))</f>
        <v>#VALUE!</v>
      </c>
      <c r="F231" t="e">
        <f t="shared" si="20"/>
        <v>#VALUE!</v>
      </c>
      <c r="G231" t="e">
        <f>MATCH(F231,Load!C$3:C$15,1)</f>
        <v>#VALUE!</v>
      </c>
      <c r="H231" t="e">
        <f t="shared" si="21"/>
        <v>#VALUE!</v>
      </c>
      <c r="I231" t="e">
        <f t="shared" si="24"/>
        <v>#VALUE!</v>
      </c>
    </row>
    <row r="232" spans="1:9" x14ac:dyDescent="0.3">
      <c r="A232">
        <v>22.8000000000001</v>
      </c>
      <c r="B232" t="e">
        <f t="shared" si="22"/>
        <v>#VALUE!</v>
      </c>
      <c r="C232" t="e">
        <f t="shared" si="23"/>
        <v>#VALUE!</v>
      </c>
      <c r="D232" t="e">
        <f>MATCH(B232,Battery!B:B,-1)</f>
        <v>#VALUE!</v>
      </c>
      <c r="E232" t="e" cm="1">
        <f t="array" ref="E232">INDEX(Battery!C:C,D232+1)+(INDEX(Battery!C:C,D232)-INDEX(Battery!C:C,D232+1))/(INDEX(Battery!B:B,D232)-INDEX(Battery!C:C,B232+1))*(B232-INDEX(Battery!C:C,B232+1))</f>
        <v>#VALUE!</v>
      </c>
      <c r="F232" t="e">
        <f t="shared" si="20"/>
        <v>#VALUE!</v>
      </c>
      <c r="G232" t="e">
        <f>MATCH(F232,Load!C$3:C$15,1)</f>
        <v>#VALUE!</v>
      </c>
      <c r="H232" t="e">
        <f t="shared" si="21"/>
        <v>#VALUE!</v>
      </c>
      <c r="I232" t="e">
        <f t="shared" si="24"/>
        <v>#VALUE!</v>
      </c>
    </row>
    <row r="233" spans="1:9" x14ac:dyDescent="0.3">
      <c r="A233">
        <v>22.900000000000102</v>
      </c>
      <c r="B233" t="e">
        <f t="shared" si="22"/>
        <v>#VALUE!</v>
      </c>
      <c r="C233" t="e">
        <f t="shared" si="23"/>
        <v>#VALUE!</v>
      </c>
      <c r="D233" t="e">
        <f>MATCH(B233,Battery!B:B,-1)</f>
        <v>#VALUE!</v>
      </c>
      <c r="E233" t="e" cm="1">
        <f t="array" ref="E233">INDEX(Battery!C:C,D233+1)+(INDEX(Battery!C:C,D233)-INDEX(Battery!C:C,D233+1))/(INDEX(Battery!B:B,D233)-INDEX(Battery!C:C,B233+1))*(B233-INDEX(Battery!C:C,B233+1))</f>
        <v>#VALUE!</v>
      </c>
      <c r="F233" t="e">
        <f t="shared" si="20"/>
        <v>#VALUE!</v>
      </c>
      <c r="G233" t="e">
        <f>MATCH(F233,Load!C$3:C$15,1)</f>
        <v>#VALUE!</v>
      </c>
      <c r="H233" t="e">
        <f t="shared" si="21"/>
        <v>#VALUE!</v>
      </c>
      <c r="I233" t="e">
        <f t="shared" si="24"/>
        <v>#VALUE!</v>
      </c>
    </row>
    <row r="234" spans="1:9" x14ac:dyDescent="0.3">
      <c r="A234">
        <v>23.000000000000099</v>
      </c>
      <c r="B234" t="e">
        <f t="shared" si="22"/>
        <v>#VALUE!</v>
      </c>
      <c r="C234" t="e">
        <f t="shared" si="23"/>
        <v>#VALUE!</v>
      </c>
      <c r="D234" t="e">
        <f>MATCH(B234,Battery!B:B,-1)</f>
        <v>#VALUE!</v>
      </c>
      <c r="E234" t="e" cm="1">
        <f t="array" ref="E234">INDEX(Battery!C:C,D234+1)+(INDEX(Battery!C:C,D234)-INDEX(Battery!C:C,D234+1))/(INDEX(Battery!B:B,D234)-INDEX(Battery!C:C,B234+1))*(B234-INDEX(Battery!C:C,B234+1))</f>
        <v>#VALUE!</v>
      </c>
      <c r="F234" t="e">
        <f t="shared" si="20"/>
        <v>#VALUE!</v>
      </c>
      <c r="G234" t="e">
        <f>MATCH(F234,Load!C$3:C$15,1)</f>
        <v>#VALUE!</v>
      </c>
      <c r="H234" t="e">
        <f t="shared" si="21"/>
        <v>#VALUE!</v>
      </c>
      <c r="I234" t="e">
        <f t="shared" si="24"/>
        <v>#VALUE!</v>
      </c>
    </row>
    <row r="235" spans="1:9" x14ac:dyDescent="0.3">
      <c r="A235">
        <v>23.100000000000101</v>
      </c>
      <c r="B235" t="e">
        <f t="shared" si="22"/>
        <v>#VALUE!</v>
      </c>
      <c r="C235" t="e">
        <f t="shared" si="23"/>
        <v>#VALUE!</v>
      </c>
      <c r="D235" t="e">
        <f>MATCH(B235,Battery!B:B,-1)</f>
        <v>#VALUE!</v>
      </c>
      <c r="E235" t="e" cm="1">
        <f t="array" ref="E235">INDEX(Battery!C:C,D235+1)+(INDEX(Battery!C:C,D235)-INDEX(Battery!C:C,D235+1))/(INDEX(Battery!B:B,D235)-INDEX(Battery!C:C,B235+1))*(B235-INDEX(Battery!C:C,B235+1))</f>
        <v>#VALUE!</v>
      </c>
      <c r="F235" t="e">
        <f t="shared" si="20"/>
        <v>#VALUE!</v>
      </c>
      <c r="G235" t="e">
        <f>MATCH(F235,Load!C$3:C$15,1)</f>
        <v>#VALUE!</v>
      </c>
      <c r="H235" t="e">
        <f t="shared" si="21"/>
        <v>#VALUE!</v>
      </c>
      <c r="I235" t="e">
        <f t="shared" si="24"/>
        <v>#VALUE!</v>
      </c>
    </row>
    <row r="236" spans="1:9" x14ac:dyDescent="0.3">
      <c r="A236">
        <v>23.200000000000099</v>
      </c>
      <c r="B236" t="e">
        <f t="shared" si="22"/>
        <v>#VALUE!</v>
      </c>
      <c r="C236" t="e">
        <f t="shared" si="23"/>
        <v>#VALUE!</v>
      </c>
      <c r="D236" t="e">
        <f>MATCH(B236,Battery!B:B,-1)</f>
        <v>#VALUE!</v>
      </c>
      <c r="E236" t="e" cm="1">
        <f t="array" ref="E236">INDEX(Battery!C:C,D236+1)+(INDEX(Battery!C:C,D236)-INDEX(Battery!C:C,D236+1))/(INDEX(Battery!B:B,D236)-INDEX(Battery!C:C,B236+1))*(B236-INDEX(Battery!C:C,B236+1))</f>
        <v>#VALUE!</v>
      </c>
      <c r="F236" t="e">
        <f t="shared" si="20"/>
        <v>#VALUE!</v>
      </c>
      <c r="G236" t="e">
        <f>MATCH(F236,Load!C$3:C$15,1)</f>
        <v>#VALUE!</v>
      </c>
      <c r="H236" t="e">
        <f t="shared" si="21"/>
        <v>#VALUE!</v>
      </c>
      <c r="I236" t="e">
        <f t="shared" si="24"/>
        <v>#VALUE!</v>
      </c>
    </row>
    <row r="237" spans="1:9" x14ac:dyDescent="0.3">
      <c r="A237">
        <v>23.3000000000001</v>
      </c>
      <c r="B237" t="e">
        <f t="shared" si="22"/>
        <v>#VALUE!</v>
      </c>
      <c r="C237" t="e">
        <f t="shared" si="23"/>
        <v>#VALUE!</v>
      </c>
      <c r="D237" t="e">
        <f>MATCH(B237,Battery!B:B,-1)</f>
        <v>#VALUE!</v>
      </c>
      <c r="E237" t="e" cm="1">
        <f t="array" ref="E237">INDEX(Battery!C:C,D237+1)+(INDEX(Battery!C:C,D237)-INDEX(Battery!C:C,D237+1))/(INDEX(Battery!B:B,D237)-INDEX(Battery!C:C,B237+1))*(B237-INDEX(Battery!C:C,B237+1))</f>
        <v>#VALUE!</v>
      </c>
      <c r="F237" t="e">
        <f t="shared" si="20"/>
        <v>#VALUE!</v>
      </c>
      <c r="G237" t="e">
        <f>MATCH(F237,Load!C$3:C$15,1)</f>
        <v>#VALUE!</v>
      </c>
      <c r="H237" t="e">
        <f t="shared" si="21"/>
        <v>#VALUE!</v>
      </c>
      <c r="I237" t="e">
        <f t="shared" si="24"/>
        <v>#VALUE!</v>
      </c>
    </row>
    <row r="238" spans="1:9" x14ac:dyDescent="0.3">
      <c r="A238">
        <v>23.400000000000102</v>
      </c>
      <c r="B238" t="e">
        <f t="shared" si="22"/>
        <v>#VALUE!</v>
      </c>
      <c r="C238" t="e">
        <f t="shared" si="23"/>
        <v>#VALUE!</v>
      </c>
      <c r="D238" t="e">
        <f>MATCH(B238,Battery!B:B,-1)</f>
        <v>#VALUE!</v>
      </c>
      <c r="E238" t="e" cm="1">
        <f t="array" ref="E238">INDEX(Battery!C:C,D238+1)+(INDEX(Battery!C:C,D238)-INDEX(Battery!C:C,D238+1))/(INDEX(Battery!B:B,D238)-INDEX(Battery!C:C,B238+1))*(B238-INDEX(Battery!C:C,B238+1))</f>
        <v>#VALUE!</v>
      </c>
      <c r="F238" t="e">
        <f t="shared" si="20"/>
        <v>#VALUE!</v>
      </c>
      <c r="G238" t="e">
        <f>MATCH(F238,Load!C$3:C$15,1)</f>
        <v>#VALUE!</v>
      </c>
      <c r="H238" t="e">
        <f t="shared" si="21"/>
        <v>#VALUE!</v>
      </c>
      <c r="I238" t="e">
        <f t="shared" si="24"/>
        <v>#VALUE!</v>
      </c>
    </row>
    <row r="239" spans="1:9" x14ac:dyDescent="0.3">
      <c r="A239">
        <v>23.5</v>
      </c>
      <c r="B239" t="e">
        <f t="shared" si="22"/>
        <v>#VALUE!</v>
      </c>
      <c r="C239" t="e">
        <f t="shared" si="23"/>
        <v>#VALUE!</v>
      </c>
      <c r="D239" t="e">
        <f>MATCH(B239,Battery!B:B,-1)</f>
        <v>#VALUE!</v>
      </c>
      <c r="E239" t="e" cm="1">
        <f t="array" ref="E239">INDEX(Battery!C:C,D239+1)+(INDEX(Battery!C:C,D239)-INDEX(Battery!C:C,D239+1))/(INDEX(Battery!B:B,D239)-INDEX(Battery!C:C,B239+1))*(B239-INDEX(Battery!C:C,B239+1))</f>
        <v>#VALUE!</v>
      </c>
      <c r="F239" t="e">
        <f t="shared" si="20"/>
        <v>#VALUE!</v>
      </c>
      <c r="G239" t="e">
        <f>MATCH(F239,Load!C$3:C$15,1)</f>
        <v>#VALUE!</v>
      </c>
      <c r="H239" t="e">
        <f t="shared" si="21"/>
        <v>#VALUE!</v>
      </c>
      <c r="I239" t="e">
        <f t="shared" si="24"/>
        <v>#VALUE!</v>
      </c>
    </row>
    <row r="240" spans="1:9" x14ac:dyDescent="0.3">
      <c r="A240">
        <v>23.600000000000101</v>
      </c>
      <c r="B240" t="e">
        <f t="shared" si="22"/>
        <v>#VALUE!</v>
      </c>
      <c r="C240" t="e">
        <f t="shared" si="23"/>
        <v>#VALUE!</v>
      </c>
      <c r="D240" t="e">
        <f>MATCH(B240,Battery!B:B,-1)</f>
        <v>#VALUE!</v>
      </c>
      <c r="E240" t="e" cm="1">
        <f t="array" ref="E240">INDEX(Battery!C:C,D240+1)+(INDEX(Battery!C:C,D240)-INDEX(Battery!C:C,D240+1))/(INDEX(Battery!B:B,D240)-INDEX(Battery!C:C,B240+1))*(B240-INDEX(Battery!C:C,B240+1))</f>
        <v>#VALUE!</v>
      </c>
      <c r="F240" t="e">
        <f t="shared" si="20"/>
        <v>#VALUE!</v>
      </c>
      <c r="G240" t="e">
        <f>MATCH(F240,Load!C$3:C$15,1)</f>
        <v>#VALUE!</v>
      </c>
      <c r="H240" t="e">
        <f t="shared" si="21"/>
        <v>#VALUE!</v>
      </c>
      <c r="I240" t="e">
        <f t="shared" si="24"/>
        <v>#VALUE!</v>
      </c>
    </row>
    <row r="241" spans="1:9" x14ac:dyDescent="0.3">
      <c r="A241">
        <v>23.7</v>
      </c>
      <c r="B241" t="e">
        <f t="shared" ref="B241:B245" si="25">C241/C$4*100</f>
        <v>#VALUE!</v>
      </c>
      <c r="C241" t="e">
        <f t="shared" ref="C241:C245" si="26">C240-I240</f>
        <v>#VALUE!</v>
      </c>
      <c r="D241" t="e">
        <f>MATCH(B241,Battery!B:B,-1)</f>
        <v>#VALUE!</v>
      </c>
      <c r="E241" t="e" cm="1">
        <f t="array" ref="E241">INDEX(Battery!C:C,D241+1)+(INDEX(Battery!C:C,D241)-INDEX(Battery!C:C,D241+1))/(INDEX(Battery!B:B,D241)-INDEX(Battery!C:C,B241+1))*(B241-INDEX(Battery!C:C,B241+1))</f>
        <v>#VALUE!</v>
      </c>
      <c r="F241" t="e">
        <f t="shared" si="20"/>
        <v>#VALUE!</v>
      </c>
      <c r="G241" t="e">
        <f>MATCH(F241,Load!C$3:C$15,1)</f>
        <v>#VALUE!</v>
      </c>
      <c r="H241" t="e">
        <f t="shared" si="21"/>
        <v>#VALUE!</v>
      </c>
      <c r="I241" t="e">
        <f t="shared" ref="I241:I245" si="27">H241*(A242-A241)</f>
        <v>#VALUE!</v>
      </c>
    </row>
    <row r="242" spans="1:9" x14ac:dyDescent="0.3">
      <c r="A242">
        <v>23.8</v>
      </c>
      <c r="B242" t="e">
        <f t="shared" si="25"/>
        <v>#VALUE!</v>
      </c>
      <c r="C242" t="e">
        <f t="shared" si="26"/>
        <v>#VALUE!</v>
      </c>
      <c r="D242" t="e">
        <f>MATCH(B242,Battery!B:B,-1)</f>
        <v>#VALUE!</v>
      </c>
      <c r="E242" t="e" cm="1">
        <f t="array" ref="E242">INDEX(Battery!C:C,D242+1)+(INDEX(Battery!C:C,D242)-INDEX(Battery!C:C,D242+1))/(INDEX(Battery!B:B,D242)-INDEX(Battery!C:C,B242+1))*(B242-INDEX(Battery!C:C,B242+1))</f>
        <v>#VALUE!</v>
      </c>
      <c r="F242" t="e">
        <f t="shared" si="20"/>
        <v>#VALUE!</v>
      </c>
      <c r="G242" t="e">
        <f>MATCH(F242,Load!C$3:C$15,1)</f>
        <v>#VALUE!</v>
      </c>
      <c r="H242" t="e">
        <f t="shared" si="21"/>
        <v>#VALUE!</v>
      </c>
      <c r="I242" t="e">
        <f t="shared" si="27"/>
        <v>#VALUE!</v>
      </c>
    </row>
    <row r="243" spans="1:9" x14ac:dyDescent="0.3">
      <c r="A243">
        <v>23.9</v>
      </c>
      <c r="B243" t="e">
        <f t="shared" si="25"/>
        <v>#VALUE!</v>
      </c>
      <c r="C243" t="e">
        <f t="shared" si="26"/>
        <v>#VALUE!</v>
      </c>
      <c r="D243" t="e">
        <f>MATCH(B243,Battery!B:B,-1)</f>
        <v>#VALUE!</v>
      </c>
      <c r="E243" t="e" cm="1">
        <f t="array" ref="E243">INDEX(Battery!C:C,D243+1)+(INDEX(Battery!C:C,D243)-INDEX(Battery!C:C,D243+1))/(INDEX(Battery!B:B,D243)-INDEX(Battery!C:C,B243+1))*(B243-INDEX(Battery!C:C,B243+1))</f>
        <v>#VALUE!</v>
      </c>
      <c r="F243" t="e">
        <f t="shared" si="20"/>
        <v>#VALUE!</v>
      </c>
      <c r="G243" t="e">
        <f>MATCH(F243,Load!C$3:C$15,1)</f>
        <v>#VALUE!</v>
      </c>
      <c r="H243" t="e">
        <f t="shared" si="21"/>
        <v>#VALUE!</v>
      </c>
      <c r="I243" t="e">
        <f t="shared" si="27"/>
        <v>#VALUE!</v>
      </c>
    </row>
    <row r="244" spans="1:9" x14ac:dyDescent="0.3">
      <c r="A244">
        <v>24</v>
      </c>
      <c r="B244" t="e">
        <f t="shared" si="25"/>
        <v>#VALUE!</v>
      </c>
      <c r="C244" t="e">
        <f t="shared" si="26"/>
        <v>#VALUE!</v>
      </c>
      <c r="D244" t="e">
        <f>MATCH(B244,Battery!B:B,-1)</f>
        <v>#VALUE!</v>
      </c>
      <c r="E244" t="e" cm="1">
        <f t="array" ref="E244">INDEX(Battery!C:C,D244+1)+(INDEX(Battery!C:C,D244)-INDEX(Battery!C:C,D244+1))/(INDEX(Battery!B:B,D244)-INDEX(Battery!C:C,B244+1))*(B244-INDEX(Battery!C:C,B244+1))</f>
        <v>#VALUE!</v>
      </c>
      <c r="F244" t="e">
        <f t="shared" si="20"/>
        <v>#VALUE!</v>
      </c>
      <c r="G244" t="e">
        <f>MATCH(F244,Load!C$3:C$15,1)</f>
        <v>#VALUE!</v>
      </c>
      <c r="H244" t="e">
        <f t="shared" si="21"/>
        <v>#VALUE!</v>
      </c>
      <c r="I244" t="e">
        <f t="shared" si="27"/>
        <v>#VALUE!</v>
      </c>
    </row>
    <row r="245" spans="1:9" x14ac:dyDescent="0.3">
      <c r="A245">
        <v>24.0999999999996</v>
      </c>
      <c r="B245" t="e">
        <f t="shared" si="25"/>
        <v>#VALUE!</v>
      </c>
      <c r="C245" t="e">
        <f t="shared" si="26"/>
        <v>#VALUE!</v>
      </c>
      <c r="D245" t="e">
        <f>MATCH(B245,Battery!B:B,-1)</f>
        <v>#VALUE!</v>
      </c>
      <c r="E245" t="e" cm="1">
        <f t="array" ref="E245">INDEX(Battery!C:C,D245+1)+(INDEX(Battery!C:C,D245)-INDEX(Battery!C:C,D245+1))/(INDEX(Battery!B:B,D245)-INDEX(Battery!C:C,B245+1))*(B245-INDEX(Battery!C:C,B245+1))</f>
        <v>#VALUE!</v>
      </c>
      <c r="F245" t="e">
        <f t="shared" si="20"/>
        <v>#VALUE!</v>
      </c>
      <c r="G245" t="e">
        <f>MATCH(F245,Load!C$3:C$15,1)</f>
        <v>#VALUE!</v>
      </c>
      <c r="H245" t="e">
        <f t="shared" si="21"/>
        <v>#VALUE!</v>
      </c>
      <c r="I245" t="e">
        <f t="shared" si="27"/>
        <v>#VALUE!</v>
      </c>
    </row>
    <row r="246" spans="1:9" x14ac:dyDescent="0.3">
      <c r="A246">
        <v>24.199999999999498</v>
      </c>
      <c r="B246" t="e">
        <f t="shared" ref="B246:B251" si="28">C246/C$4*100</f>
        <v>#VALUE!</v>
      </c>
      <c r="C246" t="e">
        <f t="shared" ref="C246:C251" si="29">C245-I245</f>
        <v>#VALUE!</v>
      </c>
      <c r="D246" t="e">
        <f>MATCH(B246,Battery!B:B,-1)</f>
        <v>#VALUE!</v>
      </c>
      <c r="E246" t="e" cm="1">
        <f t="array" ref="E246">INDEX(Battery!C:C,D246+1)+(INDEX(Battery!C:C,D246)-INDEX(Battery!C:C,D246+1))/(INDEX(Battery!B:B,D246)-INDEX(Battery!C:C,B246+1))*(B246-INDEX(Battery!C:C,B246+1))</f>
        <v>#VALUE!</v>
      </c>
      <c r="F246" t="e">
        <f t="shared" si="20"/>
        <v>#VALUE!</v>
      </c>
      <c r="G246" t="e">
        <f>MATCH(F246,Load!C$3:C$15,1)</f>
        <v>#VALUE!</v>
      </c>
      <c r="H246" t="e">
        <f t="shared" si="21"/>
        <v>#VALUE!</v>
      </c>
      <c r="I246" t="e">
        <f t="shared" ref="I246:I251" si="30">H246*(A247-A246)</f>
        <v>#VALUE!</v>
      </c>
    </row>
    <row r="247" spans="1:9" x14ac:dyDescent="0.3">
      <c r="A247">
        <v>24.2999999999994</v>
      </c>
      <c r="B247" t="e">
        <f t="shared" si="28"/>
        <v>#VALUE!</v>
      </c>
      <c r="C247" t="e">
        <f t="shared" si="29"/>
        <v>#VALUE!</v>
      </c>
      <c r="D247" t="e">
        <f>MATCH(B247,Battery!B:B,-1)</f>
        <v>#VALUE!</v>
      </c>
      <c r="E247" t="e" cm="1">
        <f t="array" ref="E247">INDEX(Battery!C:C,D247+1)+(INDEX(Battery!C:C,D247)-INDEX(Battery!C:C,D247+1))/(INDEX(Battery!B:B,D247)-INDEX(Battery!C:C,B247+1))*(B247-INDEX(Battery!C:C,B247+1))</f>
        <v>#VALUE!</v>
      </c>
      <c r="F247" t="e">
        <f t="shared" si="20"/>
        <v>#VALUE!</v>
      </c>
      <c r="G247" t="e">
        <f>MATCH(F247,Load!C$3:C$15,1)</f>
        <v>#VALUE!</v>
      </c>
      <c r="H247" t="e">
        <f t="shared" si="21"/>
        <v>#VALUE!</v>
      </c>
      <c r="I247" t="e">
        <f t="shared" si="30"/>
        <v>#VALUE!</v>
      </c>
    </row>
    <row r="248" spans="1:9" x14ac:dyDescent="0.3">
      <c r="A248">
        <v>24.399999999999299</v>
      </c>
      <c r="B248" t="e">
        <f t="shared" si="28"/>
        <v>#VALUE!</v>
      </c>
      <c r="C248" t="e">
        <f t="shared" si="29"/>
        <v>#VALUE!</v>
      </c>
      <c r="D248" t="e">
        <f>MATCH(B248,Battery!B:B,-1)</f>
        <v>#VALUE!</v>
      </c>
      <c r="E248" t="e" cm="1">
        <f t="array" ref="E248">INDEX(Battery!C:C,D248+1)+(INDEX(Battery!C:C,D248)-INDEX(Battery!C:C,D248+1))/(INDEX(Battery!B:B,D248)-INDEX(Battery!C:C,B248+1))*(B248-INDEX(Battery!C:C,B248+1))</f>
        <v>#VALUE!</v>
      </c>
      <c r="F248" t="e">
        <f t="shared" si="20"/>
        <v>#VALUE!</v>
      </c>
      <c r="G248" t="e">
        <f>MATCH(F248,Load!C$3:C$15,1)</f>
        <v>#VALUE!</v>
      </c>
      <c r="H248" t="e">
        <f t="shared" si="21"/>
        <v>#VALUE!</v>
      </c>
      <c r="I248" t="e">
        <f t="shared" si="30"/>
        <v>#VALUE!</v>
      </c>
    </row>
    <row r="249" spans="1:9" x14ac:dyDescent="0.3">
      <c r="A249">
        <v>24.499999999999201</v>
      </c>
      <c r="B249" t="e">
        <f t="shared" si="28"/>
        <v>#VALUE!</v>
      </c>
      <c r="C249" t="e">
        <f t="shared" si="29"/>
        <v>#VALUE!</v>
      </c>
      <c r="D249" t="e">
        <f>MATCH(B249,Battery!B:B,-1)</f>
        <v>#VALUE!</v>
      </c>
      <c r="E249" t="e" cm="1">
        <f t="array" ref="E249">INDEX(Battery!C:C,D249+1)+(INDEX(Battery!C:C,D249)-INDEX(Battery!C:C,D249+1))/(INDEX(Battery!B:B,D249)-INDEX(Battery!C:C,B249+1))*(B249-INDEX(Battery!C:C,B249+1))</f>
        <v>#VALUE!</v>
      </c>
      <c r="F249" t="e">
        <f t="shared" si="20"/>
        <v>#VALUE!</v>
      </c>
      <c r="G249" t="e">
        <f>MATCH(F249,Load!C$3:C$15,1)</f>
        <v>#VALUE!</v>
      </c>
      <c r="H249" t="e">
        <f t="shared" si="21"/>
        <v>#VALUE!</v>
      </c>
      <c r="I249" t="e">
        <f t="shared" si="30"/>
        <v>#VALUE!</v>
      </c>
    </row>
    <row r="250" spans="1:9" x14ac:dyDescent="0.3">
      <c r="A250">
        <v>24.599999999999099</v>
      </c>
      <c r="B250" t="e">
        <f t="shared" si="28"/>
        <v>#VALUE!</v>
      </c>
      <c r="C250" t="e">
        <f t="shared" si="29"/>
        <v>#VALUE!</v>
      </c>
      <c r="D250" t="e">
        <f>MATCH(B250,Battery!B:B,-1)</f>
        <v>#VALUE!</v>
      </c>
      <c r="E250" t="e" cm="1">
        <f t="array" ref="E250">INDEX(Battery!C:C,D250+1)+(INDEX(Battery!C:C,D250)-INDEX(Battery!C:C,D250+1))/(INDEX(Battery!B:B,D250)-INDEX(Battery!C:C,B250+1))*(B250-INDEX(Battery!C:C,B250+1))</f>
        <v>#VALUE!</v>
      </c>
      <c r="F250" t="e">
        <f t="shared" si="20"/>
        <v>#VALUE!</v>
      </c>
      <c r="G250" t="e">
        <f>MATCH(F250,Load!C$3:C$15,1)</f>
        <v>#VALUE!</v>
      </c>
      <c r="H250" t="e">
        <f t="shared" si="21"/>
        <v>#VALUE!</v>
      </c>
      <c r="I250" t="e">
        <f t="shared" si="30"/>
        <v>#VALUE!</v>
      </c>
    </row>
    <row r="251" spans="1:9" x14ac:dyDescent="0.3">
      <c r="A251">
        <v>24.699999999999001</v>
      </c>
      <c r="B251" t="e">
        <f t="shared" si="28"/>
        <v>#VALUE!</v>
      </c>
      <c r="C251" t="e">
        <f t="shared" si="29"/>
        <v>#VALUE!</v>
      </c>
      <c r="D251" t="e">
        <f>MATCH(B251,Battery!B:B,-1)</f>
        <v>#VALUE!</v>
      </c>
      <c r="E251" t="e" cm="1">
        <f t="array" ref="E251">INDEX(Battery!C:C,D251+1)+(INDEX(Battery!C:C,D251)-INDEX(Battery!C:C,D251+1))/(INDEX(Battery!B:B,D251)-INDEX(Battery!C:C,B251+1))*(B251-INDEX(Battery!C:C,B251+1))</f>
        <v>#VALUE!</v>
      </c>
      <c r="F251" t="e">
        <f t="shared" si="20"/>
        <v>#VALUE!</v>
      </c>
      <c r="G251" t="e">
        <f>MATCH(F251,Load!C$3:C$15,1)</f>
        <v>#VALUE!</v>
      </c>
      <c r="H251" t="e">
        <f t="shared" si="21"/>
        <v>#VALUE!</v>
      </c>
      <c r="I251" t="e">
        <f t="shared" si="30"/>
        <v>#VALUE!</v>
      </c>
    </row>
  </sheetData>
  <conditionalFormatting sqref="F2:F1048576">
    <cfRule type="cellIs" dxfId="1" priority="1" operator="lessThan">
      <formula>3.5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642A-5538-4754-B225-529F736D8014}">
  <dimension ref="A1:E16"/>
  <sheetViews>
    <sheetView zoomScale="115" zoomScaleNormal="115" workbookViewId="0">
      <selection activeCell="B12" sqref="B12:B13"/>
    </sheetView>
  </sheetViews>
  <sheetFormatPr defaultRowHeight="14.4" x14ac:dyDescent="0.3"/>
  <sheetData>
    <row r="1" spans="1:5" x14ac:dyDescent="0.3">
      <c r="A1" s="1" t="s">
        <v>123</v>
      </c>
      <c r="B1" s="1"/>
      <c r="C1" s="1"/>
      <c r="D1" s="1" t="s">
        <v>124</v>
      </c>
    </row>
    <row r="2" spans="1:5" x14ac:dyDescent="0.3">
      <c r="D2">
        <v>5.0999999999999996</v>
      </c>
      <c r="E2">
        <v>4.7</v>
      </c>
    </row>
    <row r="3" spans="1:5" x14ac:dyDescent="0.3">
      <c r="A3" s="1" t="s">
        <v>125</v>
      </c>
      <c r="B3" s="1" t="s">
        <v>126</v>
      </c>
      <c r="D3" s="1" t="s">
        <v>125</v>
      </c>
      <c r="E3" s="1" t="s">
        <v>125</v>
      </c>
    </row>
    <row r="4" spans="1:5" x14ac:dyDescent="0.3">
      <c r="A4">
        <v>3.04</v>
      </c>
      <c r="B4">
        <v>0.38</v>
      </c>
      <c r="D4">
        <f>$A4/5.6*D$2</f>
        <v>2.7685714285714287</v>
      </c>
      <c r="E4">
        <f>$A4/5.6*E$2</f>
        <v>2.551428571428572</v>
      </c>
    </row>
    <row r="5" spans="1:5" x14ac:dyDescent="0.3">
      <c r="A5">
        <v>3.51</v>
      </c>
      <c r="B5">
        <v>1.82</v>
      </c>
      <c r="D5">
        <f t="shared" ref="D5:D16" si="0">A5/5.6*$D$2</f>
        <v>3.1966071428571428</v>
      </c>
      <c r="E5">
        <f t="shared" ref="E5:E16" si="1">$A5/5.6*E$2</f>
        <v>2.9458928571428573</v>
      </c>
    </row>
    <row r="6" spans="1:5" x14ac:dyDescent="0.3">
      <c r="A6">
        <v>3.7</v>
      </c>
      <c r="B6">
        <v>3.08</v>
      </c>
      <c r="D6">
        <f t="shared" si="0"/>
        <v>3.3696428571428574</v>
      </c>
      <c r="E6">
        <f t="shared" si="1"/>
        <v>3.1053571428571436</v>
      </c>
    </row>
    <row r="7" spans="1:5" x14ac:dyDescent="0.3">
      <c r="A7">
        <v>3.81</v>
      </c>
      <c r="B7">
        <v>4.22</v>
      </c>
      <c r="D7">
        <f t="shared" si="0"/>
        <v>3.4698214285714286</v>
      </c>
      <c r="E7">
        <f t="shared" si="1"/>
        <v>3.1976785714285718</v>
      </c>
    </row>
    <row r="8" spans="1:5" x14ac:dyDescent="0.3">
      <c r="A8">
        <v>3.91</v>
      </c>
      <c r="B8">
        <v>5.62</v>
      </c>
      <c r="D8">
        <f t="shared" si="0"/>
        <v>3.5608928571428571</v>
      </c>
      <c r="E8">
        <f t="shared" si="1"/>
        <v>3.2816071428571432</v>
      </c>
    </row>
    <row r="9" spans="1:5" x14ac:dyDescent="0.3">
      <c r="A9">
        <v>4</v>
      </c>
      <c r="B9">
        <v>7.42</v>
      </c>
      <c r="D9">
        <f t="shared" si="0"/>
        <v>3.6428571428571428</v>
      </c>
      <c r="E9">
        <f t="shared" si="1"/>
        <v>3.3571428571428572</v>
      </c>
    </row>
    <row r="10" spans="1:5" x14ac:dyDescent="0.3">
      <c r="A10">
        <v>4.0999999999999996</v>
      </c>
      <c r="B10">
        <v>9.82</v>
      </c>
      <c r="D10">
        <f t="shared" si="0"/>
        <v>3.7339285714285708</v>
      </c>
      <c r="E10">
        <f t="shared" si="1"/>
        <v>3.4410714285714286</v>
      </c>
    </row>
    <row r="11" spans="1:5" x14ac:dyDescent="0.3">
      <c r="A11">
        <v>4.2</v>
      </c>
      <c r="B11">
        <v>13</v>
      </c>
      <c r="D11">
        <f t="shared" si="0"/>
        <v>3.8250000000000002</v>
      </c>
      <c r="E11">
        <f t="shared" si="1"/>
        <v>3.5250000000000008</v>
      </c>
    </row>
    <row r="12" spans="1:5" x14ac:dyDescent="0.3">
      <c r="A12">
        <v>4.5</v>
      </c>
      <c r="B12">
        <v>30.96</v>
      </c>
      <c r="D12">
        <f t="shared" si="0"/>
        <v>4.0982142857142856</v>
      </c>
      <c r="E12">
        <f t="shared" si="1"/>
        <v>3.7767857142857144</v>
      </c>
    </row>
    <row r="13" spans="1:5" x14ac:dyDescent="0.3">
      <c r="A13">
        <v>4.5999999999999996</v>
      </c>
      <c r="B13">
        <v>40.11</v>
      </c>
      <c r="D13">
        <f t="shared" si="0"/>
        <v>4.1892857142857141</v>
      </c>
      <c r="E13">
        <f t="shared" si="1"/>
        <v>3.8607142857142858</v>
      </c>
    </row>
    <row r="14" spans="1:5" x14ac:dyDescent="0.3">
      <c r="A14">
        <v>4.71</v>
      </c>
      <c r="B14">
        <v>55.54</v>
      </c>
      <c r="D14">
        <f t="shared" si="0"/>
        <v>4.2894642857142857</v>
      </c>
      <c r="E14">
        <f t="shared" si="1"/>
        <v>3.9530357142857144</v>
      </c>
    </row>
    <row r="15" spans="1:5" x14ac:dyDescent="0.3">
      <c r="A15">
        <v>4.8</v>
      </c>
      <c r="B15">
        <v>75.5</v>
      </c>
      <c r="D15">
        <f t="shared" si="0"/>
        <v>4.3714285714285719</v>
      </c>
      <c r="E15">
        <f t="shared" si="1"/>
        <v>4.0285714285714294</v>
      </c>
    </row>
    <row r="16" spans="1:5" x14ac:dyDescent="0.3">
      <c r="A16">
        <v>4.9000000000000004</v>
      </c>
      <c r="B16">
        <v>107.7</v>
      </c>
      <c r="D16">
        <f t="shared" si="0"/>
        <v>4.4625000000000004</v>
      </c>
      <c r="E16">
        <f t="shared" si="1"/>
        <v>4.1125000000000007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C957-5BC6-483C-AD50-A548587A4F97}">
  <dimension ref="A1:C18"/>
  <sheetViews>
    <sheetView workbookViewId="0">
      <selection activeCell="F27" sqref="F27"/>
    </sheetView>
  </sheetViews>
  <sheetFormatPr defaultRowHeight="14.4" x14ac:dyDescent="0.3"/>
  <cols>
    <col min="1" max="1" width="14.5546875" customWidth="1"/>
  </cols>
  <sheetData>
    <row r="1" spans="1:3" x14ac:dyDescent="0.3">
      <c r="A1" t="s">
        <v>49</v>
      </c>
      <c r="B1" t="s">
        <v>50</v>
      </c>
      <c r="C1" t="s">
        <v>51</v>
      </c>
    </row>
    <row r="3" spans="1:3" x14ac:dyDescent="0.3">
      <c r="A3" t="s">
        <v>52</v>
      </c>
      <c r="B3">
        <v>1.3</v>
      </c>
      <c r="C3" t="s">
        <v>20</v>
      </c>
    </row>
    <row r="4" spans="1:3" x14ac:dyDescent="0.3">
      <c r="A4" t="s">
        <v>53</v>
      </c>
      <c r="B4">
        <v>10</v>
      </c>
      <c r="C4" t="s">
        <v>20</v>
      </c>
    </row>
    <row r="6" spans="1:3" x14ac:dyDescent="0.3">
      <c r="A6" t="s">
        <v>54</v>
      </c>
      <c r="B6">
        <v>490</v>
      </c>
      <c r="C6" t="s">
        <v>58</v>
      </c>
    </row>
    <row r="7" spans="1:3" x14ac:dyDescent="0.3">
      <c r="A7" t="s">
        <v>55</v>
      </c>
      <c r="B7">
        <v>590</v>
      </c>
      <c r="C7" t="s">
        <v>58</v>
      </c>
    </row>
    <row r="8" spans="1:3" x14ac:dyDescent="0.3">
      <c r="A8" t="s">
        <v>60</v>
      </c>
      <c r="B8">
        <f>B6/B3</f>
        <v>376.92307692307691</v>
      </c>
    </row>
    <row r="9" spans="1:3" x14ac:dyDescent="0.3">
      <c r="A9" t="s">
        <v>59</v>
      </c>
      <c r="B9">
        <f>B7/B3</f>
        <v>453.84615384615381</v>
      </c>
    </row>
    <row r="10" spans="1:3" x14ac:dyDescent="0.3">
      <c r="A10" t="s">
        <v>61</v>
      </c>
      <c r="B10">
        <f>AVERAGE(B8:B9)</f>
        <v>415.38461538461536</v>
      </c>
    </row>
    <row r="14" spans="1:3" x14ac:dyDescent="0.3">
      <c r="A14" t="s">
        <v>56</v>
      </c>
      <c r="B14">
        <v>470</v>
      </c>
      <c r="C14" t="s">
        <v>58</v>
      </c>
    </row>
    <row r="15" spans="1:3" x14ac:dyDescent="0.3">
      <c r="A15" t="s">
        <v>57</v>
      </c>
      <c r="B15">
        <v>605</v>
      </c>
      <c r="C15" t="s">
        <v>58</v>
      </c>
    </row>
    <row r="16" spans="1:3" x14ac:dyDescent="0.3">
      <c r="A16" t="s">
        <v>60</v>
      </c>
      <c r="B16">
        <f>B14/(B3+B4)</f>
        <v>41.592920353982301</v>
      </c>
      <c r="C16" t="s">
        <v>14</v>
      </c>
    </row>
    <row r="17" spans="1:3" x14ac:dyDescent="0.3">
      <c r="A17" t="s">
        <v>59</v>
      </c>
      <c r="B17">
        <f>B15/(B3+B4)</f>
        <v>53.539823008849552</v>
      </c>
      <c r="C17" t="s">
        <v>14</v>
      </c>
    </row>
    <row r="18" spans="1:3" x14ac:dyDescent="0.3">
      <c r="A18" t="s">
        <v>61</v>
      </c>
      <c r="B18">
        <f>AVERAGE(B16:B17)</f>
        <v>47.56637168141593</v>
      </c>
      <c r="C1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919E-5FFD-4536-A491-942DF3A82D95}">
  <dimension ref="A1:N46"/>
  <sheetViews>
    <sheetView workbookViewId="0">
      <selection activeCell="B8" sqref="B8"/>
    </sheetView>
  </sheetViews>
  <sheetFormatPr defaultRowHeight="14.4" x14ac:dyDescent="0.3"/>
  <cols>
    <col min="1" max="1" width="18.33203125" customWidth="1"/>
    <col min="4" max="4" width="43.44140625" customWidth="1"/>
    <col min="6" max="6" width="6.77734375" bestFit="1" customWidth="1"/>
    <col min="7" max="7" width="8.21875" bestFit="1" customWidth="1"/>
    <col min="8" max="8" width="13" bestFit="1" customWidth="1"/>
    <col min="9" max="10" width="10.6640625" bestFit="1" customWidth="1"/>
  </cols>
  <sheetData>
    <row r="1" spans="1:14" x14ac:dyDescent="0.3">
      <c r="A1" s="1" t="s">
        <v>41</v>
      </c>
      <c r="B1" s="1"/>
      <c r="C1" s="1"/>
      <c r="D1" s="1" t="s">
        <v>83</v>
      </c>
      <c r="F1" s="1"/>
      <c r="G1" s="1" t="s">
        <v>91</v>
      </c>
      <c r="H1" s="1"/>
      <c r="I1" s="1"/>
      <c r="J1" s="1"/>
      <c r="K1" s="1" t="s">
        <v>92</v>
      </c>
    </row>
    <row r="2" spans="1:14" x14ac:dyDescent="0.3">
      <c r="A2" t="s">
        <v>68</v>
      </c>
      <c r="B2">
        <v>3</v>
      </c>
      <c r="C2" t="s">
        <v>64</v>
      </c>
      <c r="D2" t="s">
        <v>84</v>
      </c>
      <c r="F2" s="1" t="s">
        <v>87</v>
      </c>
      <c r="G2" s="1" t="s">
        <v>0</v>
      </c>
      <c r="H2" s="1" t="s">
        <v>88</v>
      </c>
      <c r="I2" s="1" t="s">
        <v>90</v>
      </c>
      <c r="J2" s="1" t="s">
        <v>93</v>
      </c>
      <c r="K2" s="1" t="s">
        <v>0</v>
      </c>
      <c r="L2" s="1" t="s">
        <v>88</v>
      </c>
      <c r="M2" s="1" t="s">
        <v>90</v>
      </c>
      <c r="N2" s="1" t="s">
        <v>93</v>
      </c>
    </row>
    <row r="3" spans="1:14" x14ac:dyDescent="0.3">
      <c r="A3" t="s">
        <v>69</v>
      </c>
      <c r="B3">
        <v>0</v>
      </c>
      <c r="C3" t="s">
        <v>64</v>
      </c>
      <c r="D3" t="s">
        <v>70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</row>
    <row r="4" spans="1:14" x14ac:dyDescent="0.3">
      <c r="A4" t="s">
        <v>71</v>
      </c>
      <c r="B4">
        <v>6</v>
      </c>
      <c r="C4" t="s">
        <v>64</v>
      </c>
      <c r="D4" t="s">
        <v>81</v>
      </c>
      <c r="F4">
        <v>0</v>
      </c>
      <c r="G4">
        <f>$B$18</f>
        <v>2000</v>
      </c>
      <c r="H4">
        <f>G4*$B$26</f>
        <v>100</v>
      </c>
      <c r="I4">
        <f>$B$15/1000*$B$27</f>
        <v>62.092500000000001</v>
      </c>
      <c r="J4">
        <f>H4+I4</f>
        <v>162.0925</v>
      </c>
      <c r="K4">
        <f>$B$18</f>
        <v>2000</v>
      </c>
      <c r="L4">
        <f>K4*$B$26</f>
        <v>100</v>
      </c>
      <c r="M4">
        <f>$B$16/1000*$B$27</f>
        <v>39.812249999999999</v>
      </c>
      <c r="N4">
        <f>L4+M4</f>
        <v>139.81225000000001</v>
      </c>
    </row>
    <row r="5" spans="1:14" x14ac:dyDescent="0.3">
      <c r="A5" t="s">
        <v>72</v>
      </c>
      <c r="B5">
        <v>25</v>
      </c>
      <c r="C5" t="s">
        <v>64</v>
      </c>
      <c r="D5" t="s">
        <v>43</v>
      </c>
      <c r="F5">
        <v>1</v>
      </c>
      <c r="G5">
        <f>G4-J4</f>
        <v>1837.9075</v>
      </c>
      <c r="H5">
        <f>G5*$B$26</f>
        <v>91.895375000000001</v>
      </c>
      <c r="I5">
        <f>$B$15/1000*$B$27</f>
        <v>62.092500000000001</v>
      </c>
      <c r="J5">
        <f>H5+I5</f>
        <v>153.987875</v>
      </c>
      <c r="K5">
        <f>K4-N4</f>
        <v>1860.1877500000001</v>
      </c>
      <c r="L5">
        <f>K5*$B$26</f>
        <v>93.009387500000003</v>
      </c>
      <c r="M5">
        <f>$B$16/1000*$B$27</f>
        <v>39.812249999999999</v>
      </c>
      <c r="N5">
        <f>L5+M5</f>
        <v>132.82163750000001</v>
      </c>
    </row>
    <row r="6" spans="1:14" x14ac:dyDescent="0.3">
      <c r="A6" t="s">
        <v>73</v>
      </c>
      <c r="B6">
        <v>5.5</v>
      </c>
      <c r="C6" t="s">
        <v>64</v>
      </c>
      <c r="D6" t="s">
        <v>44</v>
      </c>
      <c r="F6">
        <v>2</v>
      </c>
      <c r="G6">
        <f t="shared" ref="G6:G15" si="0">G5-J5</f>
        <v>1683.919625</v>
      </c>
      <c r="H6">
        <f t="shared" ref="H6:H31" si="1">G6*$B$26</f>
        <v>84.195981250000003</v>
      </c>
      <c r="I6">
        <f t="shared" ref="I6:I31" si="2">$B$15/1000*$B$27</f>
        <v>62.092500000000001</v>
      </c>
      <c r="J6">
        <f t="shared" ref="J6:J15" si="3">H6+I6</f>
        <v>146.28848125000002</v>
      </c>
      <c r="K6">
        <f t="shared" ref="K6:K46" si="4">K5-N5</f>
        <v>1727.3661125000001</v>
      </c>
      <c r="L6">
        <f t="shared" ref="L6:L46" si="5">K6*$B$26</f>
        <v>86.368305625000005</v>
      </c>
      <c r="M6">
        <f t="shared" ref="M6:M46" si="6">$B$16/1000*$B$27</f>
        <v>39.812249999999999</v>
      </c>
      <c r="N6">
        <f t="shared" ref="N6:N46" si="7">L6+M6</f>
        <v>126.18055562500001</v>
      </c>
    </row>
    <row r="7" spans="1:14" x14ac:dyDescent="0.3">
      <c r="A7" t="s">
        <v>45</v>
      </c>
      <c r="B7">
        <v>0.5</v>
      </c>
      <c r="C7" t="s">
        <v>64</v>
      </c>
      <c r="D7" t="s">
        <v>43</v>
      </c>
      <c r="F7">
        <v>3</v>
      </c>
      <c r="G7">
        <f t="shared" si="0"/>
        <v>1537.6311437499999</v>
      </c>
      <c r="H7">
        <f t="shared" si="1"/>
        <v>76.881557187499993</v>
      </c>
      <c r="I7">
        <f t="shared" si="2"/>
        <v>62.092500000000001</v>
      </c>
      <c r="J7">
        <f t="shared" si="3"/>
        <v>138.97405718749999</v>
      </c>
      <c r="K7">
        <f t="shared" si="4"/>
        <v>1601.1855568750002</v>
      </c>
      <c r="L7">
        <f t="shared" si="5"/>
        <v>80.05927784375001</v>
      </c>
      <c r="M7">
        <f t="shared" si="6"/>
        <v>39.812249999999999</v>
      </c>
      <c r="N7">
        <f t="shared" si="7"/>
        <v>119.87152784375002</v>
      </c>
    </row>
    <row r="8" spans="1:14" x14ac:dyDescent="0.3">
      <c r="A8" t="s">
        <v>74</v>
      </c>
      <c r="B8">
        <v>5</v>
      </c>
      <c r="C8" t="s">
        <v>64</v>
      </c>
      <c r="D8" t="s">
        <v>43</v>
      </c>
      <c r="F8">
        <v>4</v>
      </c>
      <c r="G8">
        <f t="shared" si="0"/>
        <v>1398.6570865624999</v>
      </c>
      <c r="H8">
        <f t="shared" si="1"/>
        <v>69.932854328125003</v>
      </c>
      <c r="I8">
        <f t="shared" si="2"/>
        <v>62.092500000000001</v>
      </c>
      <c r="J8">
        <f t="shared" si="3"/>
        <v>132.02535432812499</v>
      </c>
      <c r="K8">
        <f t="shared" si="4"/>
        <v>1481.3140290312501</v>
      </c>
      <c r="L8">
        <f t="shared" si="5"/>
        <v>74.065701451562504</v>
      </c>
      <c r="M8">
        <f t="shared" si="6"/>
        <v>39.812249999999999</v>
      </c>
      <c r="N8">
        <f t="shared" si="7"/>
        <v>113.8779514515625</v>
      </c>
    </row>
    <row r="9" spans="1:14" x14ac:dyDescent="0.3">
      <c r="A9" t="s">
        <v>82</v>
      </c>
      <c r="B9">
        <v>35</v>
      </c>
      <c r="C9" t="s">
        <v>64</v>
      </c>
      <c r="D9" t="s">
        <v>127</v>
      </c>
      <c r="F9">
        <v>5</v>
      </c>
      <c r="G9">
        <f t="shared" si="0"/>
        <v>1266.6317322343748</v>
      </c>
      <c r="H9">
        <f t="shared" si="1"/>
        <v>63.331586611718741</v>
      </c>
      <c r="I9">
        <f t="shared" si="2"/>
        <v>62.092500000000001</v>
      </c>
      <c r="J9">
        <f t="shared" si="3"/>
        <v>125.42408661171874</v>
      </c>
      <c r="K9">
        <f t="shared" si="4"/>
        <v>1367.4360775796877</v>
      </c>
      <c r="L9">
        <f t="shared" si="5"/>
        <v>68.37180387898438</v>
      </c>
      <c r="M9">
        <f t="shared" si="6"/>
        <v>39.812249999999999</v>
      </c>
      <c r="N9">
        <f t="shared" si="7"/>
        <v>108.18405387898437</v>
      </c>
    </row>
    <row r="10" spans="1:14" x14ac:dyDescent="0.3">
      <c r="A10" t="s">
        <v>99</v>
      </c>
      <c r="B10">
        <v>3</v>
      </c>
      <c r="C10" t="s">
        <v>64</v>
      </c>
      <c r="D10" t="s">
        <v>100</v>
      </c>
      <c r="F10">
        <v>6</v>
      </c>
      <c r="G10">
        <f t="shared" si="0"/>
        <v>1141.2076456226559</v>
      </c>
      <c r="H10">
        <f t="shared" si="1"/>
        <v>57.060382281132803</v>
      </c>
      <c r="I10">
        <f t="shared" si="2"/>
        <v>62.092500000000001</v>
      </c>
      <c r="J10">
        <f t="shared" si="3"/>
        <v>119.1528822811328</v>
      </c>
      <c r="K10">
        <f t="shared" si="4"/>
        <v>1259.2520237007034</v>
      </c>
      <c r="L10">
        <f t="shared" si="5"/>
        <v>62.962601185035169</v>
      </c>
      <c r="M10">
        <f t="shared" si="6"/>
        <v>39.812249999999999</v>
      </c>
      <c r="N10">
        <f t="shared" si="7"/>
        <v>102.77485118503517</v>
      </c>
    </row>
    <row r="11" spans="1:14" x14ac:dyDescent="0.3">
      <c r="A11" t="s">
        <v>101</v>
      </c>
      <c r="B11">
        <v>2</v>
      </c>
      <c r="C11" t="s">
        <v>64</v>
      </c>
      <c r="D11" t="s">
        <v>102</v>
      </c>
      <c r="F11">
        <v>7</v>
      </c>
      <c r="G11">
        <f t="shared" si="0"/>
        <v>1022.0547633415231</v>
      </c>
      <c r="H11">
        <f t="shared" si="1"/>
        <v>51.102738167076154</v>
      </c>
      <c r="I11">
        <f t="shared" si="2"/>
        <v>62.092500000000001</v>
      </c>
      <c r="J11">
        <f t="shared" si="3"/>
        <v>113.19523816707616</v>
      </c>
      <c r="K11">
        <f t="shared" si="4"/>
        <v>1156.4771725156681</v>
      </c>
      <c r="L11">
        <f t="shared" si="5"/>
        <v>57.823858625783409</v>
      </c>
      <c r="M11">
        <f t="shared" si="6"/>
        <v>39.812249999999999</v>
      </c>
      <c r="N11">
        <f t="shared" si="7"/>
        <v>97.636108625783407</v>
      </c>
    </row>
    <row r="12" spans="1:14" x14ac:dyDescent="0.3">
      <c r="F12">
        <v>8</v>
      </c>
      <c r="G12">
        <f t="shared" si="0"/>
        <v>908.85952517444696</v>
      </c>
      <c r="H12">
        <f t="shared" si="1"/>
        <v>45.442976258722354</v>
      </c>
      <c r="I12">
        <f t="shared" si="2"/>
        <v>62.092500000000001</v>
      </c>
      <c r="J12">
        <f t="shared" si="3"/>
        <v>107.53547625872235</v>
      </c>
      <c r="K12">
        <f t="shared" si="4"/>
        <v>1058.8410638898847</v>
      </c>
      <c r="L12">
        <f t="shared" si="5"/>
        <v>52.942053194494235</v>
      </c>
      <c r="M12">
        <f t="shared" si="6"/>
        <v>39.812249999999999</v>
      </c>
      <c r="N12">
        <f t="shared" si="7"/>
        <v>92.754303194494241</v>
      </c>
    </row>
    <row r="13" spans="1:14" x14ac:dyDescent="0.3">
      <c r="F13">
        <v>9</v>
      </c>
      <c r="G13">
        <f t="shared" si="0"/>
        <v>801.32404891572457</v>
      </c>
      <c r="H13">
        <f t="shared" si="1"/>
        <v>40.066202445786232</v>
      </c>
      <c r="I13">
        <f t="shared" si="2"/>
        <v>62.092500000000001</v>
      </c>
      <c r="J13">
        <f t="shared" si="3"/>
        <v>102.15870244578623</v>
      </c>
      <c r="K13">
        <f t="shared" si="4"/>
        <v>966.08676069539047</v>
      </c>
      <c r="L13">
        <f t="shared" si="5"/>
        <v>48.304338034769529</v>
      </c>
      <c r="M13">
        <f t="shared" si="6"/>
        <v>39.812249999999999</v>
      </c>
      <c r="N13">
        <f t="shared" si="7"/>
        <v>88.116588034769535</v>
      </c>
    </row>
    <row r="14" spans="1:14" x14ac:dyDescent="0.3">
      <c r="F14">
        <v>10</v>
      </c>
      <c r="G14">
        <f t="shared" si="0"/>
        <v>699.1653464699383</v>
      </c>
      <c r="H14">
        <f t="shared" si="1"/>
        <v>34.958267323496919</v>
      </c>
      <c r="I14">
        <f t="shared" si="2"/>
        <v>62.092500000000001</v>
      </c>
      <c r="J14">
        <f t="shared" si="3"/>
        <v>97.050767323496927</v>
      </c>
      <c r="K14">
        <f t="shared" si="4"/>
        <v>877.97017266062096</v>
      </c>
      <c r="L14">
        <f t="shared" si="5"/>
        <v>43.898508633031049</v>
      </c>
      <c r="M14">
        <f t="shared" si="6"/>
        <v>39.812249999999999</v>
      </c>
      <c r="N14">
        <f t="shared" si="7"/>
        <v>83.710758633031048</v>
      </c>
    </row>
    <row r="15" spans="1:14" x14ac:dyDescent="0.3">
      <c r="A15" t="s">
        <v>46</v>
      </c>
      <c r="B15">
        <f>SUM(B2:B14)</f>
        <v>85</v>
      </c>
      <c r="C15" t="s">
        <v>64</v>
      </c>
      <c r="F15">
        <v>11</v>
      </c>
      <c r="G15">
        <f t="shared" si="0"/>
        <v>602.11457914644143</v>
      </c>
      <c r="H15">
        <f t="shared" si="1"/>
        <v>30.105728957322071</v>
      </c>
      <c r="I15">
        <f t="shared" si="2"/>
        <v>62.092500000000001</v>
      </c>
      <c r="J15">
        <f t="shared" si="3"/>
        <v>92.198228957322073</v>
      </c>
      <c r="K15">
        <f t="shared" si="4"/>
        <v>794.25941402758986</v>
      </c>
      <c r="L15">
        <f t="shared" si="5"/>
        <v>39.712970701379497</v>
      </c>
      <c r="M15">
        <f t="shared" si="6"/>
        <v>39.812249999999999</v>
      </c>
      <c r="N15">
        <f t="shared" si="7"/>
        <v>79.525220701379496</v>
      </c>
    </row>
    <row r="16" spans="1:14" x14ac:dyDescent="0.3">
      <c r="A16" t="s">
        <v>47</v>
      </c>
      <c r="B16">
        <f>B15-B5-B6</f>
        <v>54.5</v>
      </c>
      <c r="C16" t="s">
        <v>64</v>
      </c>
      <c r="F16">
        <v>12</v>
      </c>
      <c r="G16">
        <f t="shared" ref="G16:G29" si="8">G15-J15</f>
        <v>509.91635018911938</v>
      </c>
      <c r="H16">
        <f t="shared" si="1"/>
        <v>25.495817509455971</v>
      </c>
      <c r="I16">
        <f t="shared" si="2"/>
        <v>62.092500000000001</v>
      </c>
      <c r="J16">
        <f t="shared" ref="J16:J29" si="9">H16+I16</f>
        <v>87.588317509455976</v>
      </c>
      <c r="K16">
        <f t="shared" si="4"/>
        <v>714.7341933262104</v>
      </c>
      <c r="L16">
        <f t="shared" si="5"/>
        <v>35.736709666310524</v>
      </c>
      <c r="M16">
        <f t="shared" si="6"/>
        <v>39.812249999999999</v>
      </c>
      <c r="N16">
        <f t="shared" si="7"/>
        <v>75.548959666310523</v>
      </c>
    </row>
    <row r="17" spans="1:14" x14ac:dyDescent="0.3">
      <c r="F17">
        <v>13</v>
      </c>
      <c r="G17">
        <f t="shared" si="8"/>
        <v>422.32803267966341</v>
      </c>
      <c r="H17">
        <f t="shared" si="1"/>
        <v>21.116401633983173</v>
      </c>
      <c r="I17">
        <f t="shared" si="2"/>
        <v>62.092500000000001</v>
      </c>
      <c r="J17">
        <f t="shared" si="9"/>
        <v>83.208901633983174</v>
      </c>
      <c r="K17">
        <f t="shared" si="4"/>
        <v>639.18523365989984</v>
      </c>
      <c r="L17">
        <f t="shared" si="5"/>
        <v>31.959261682994992</v>
      </c>
      <c r="M17">
        <f t="shared" si="6"/>
        <v>39.812249999999999</v>
      </c>
      <c r="N17">
        <f t="shared" si="7"/>
        <v>71.771511682994998</v>
      </c>
    </row>
    <row r="18" spans="1:14" x14ac:dyDescent="0.3">
      <c r="A18" t="s">
        <v>75</v>
      </c>
      <c r="B18">
        <v>2000</v>
      </c>
      <c r="C18" t="s">
        <v>7</v>
      </c>
      <c r="F18">
        <v>14</v>
      </c>
      <c r="G18">
        <f t="shared" si="8"/>
        <v>339.11913104568021</v>
      </c>
      <c r="H18">
        <f t="shared" si="1"/>
        <v>16.955956552284011</v>
      </c>
      <c r="I18">
        <f t="shared" si="2"/>
        <v>62.092500000000001</v>
      </c>
      <c r="J18">
        <f t="shared" si="9"/>
        <v>79.048456552284009</v>
      </c>
      <c r="K18">
        <f t="shared" si="4"/>
        <v>567.41372197690487</v>
      </c>
      <c r="L18">
        <f t="shared" si="5"/>
        <v>28.370686098845244</v>
      </c>
      <c r="M18">
        <f t="shared" si="6"/>
        <v>39.812249999999999</v>
      </c>
      <c r="N18">
        <f t="shared" si="7"/>
        <v>68.182936098845246</v>
      </c>
    </row>
    <row r="19" spans="1:14" x14ac:dyDescent="0.3">
      <c r="A19" t="s">
        <v>77</v>
      </c>
      <c r="B19">
        <f>B18/B15*1000</f>
        <v>23529.411764705885</v>
      </c>
      <c r="C19" t="s">
        <v>76</v>
      </c>
      <c r="F19">
        <v>15</v>
      </c>
      <c r="G19">
        <f t="shared" si="8"/>
        <v>260.07067449339621</v>
      </c>
      <c r="H19">
        <f t="shared" si="1"/>
        <v>13.003533724669811</v>
      </c>
      <c r="I19">
        <f t="shared" si="2"/>
        <v>62.092500000000001</v>
      </c>
      <c r="J19">
        <f t="shared" si="9"/>
        <v>75.096033724669809</v>
      </c>
      <c r="K19">
        <f t="shared" si="4"/>
        <v>499.23078587805963</v>
      </c>
      <c r="L19">
        <f t="shared" si="5"/>
        <v>24.961539293902984</v>
      </c>
      <c r="M19">
        <f t="shared" si="6"/>
        <v>39.812249999999999</v>
      </c>
      <c r="N19">
        <f t="shared" si="7"/>
        <v>64.773789293902979</v>
      </c>
    </row>
    <row r="20" spans="1:14" x14ac:dyDescent="0.3">
      <c r="B20">
        <f>B19/24</f>
        <v>980.3921568627452</v>
      </c>
      <c r="C20" t="s">
        <v>78</v>
      </c>
      <c r="F20">
        <v>16</v>
      </c>
      <c r="G20">
        <f t="shared" si="8"/>
        <v>184.9746407687264</v>
      </c>
      <c r="H20">
        <f t="shared" si="1"/>
        <v>9.2487320384363212</v>
      </c>
      <c r="I20">
        <f t="shared" si="2"/>
        <v>62.092500000000001</v>
      </c>
      <c r="J20">
        <f t="shared" si="9"/>
        <v>71.341232038436317</v>
      </c>
      <c r="K20">
        <f t="shared" si="4"/>
        <v>434.45699658415663</v>
      </c>
      <c r="L20">
        <f t="shared" si="5"/>
        <v>21.722849829207831</v>
      </c>
      <c r="M20">
        <f t="shared" si="6"/>
        <v>39.812249999999999</v>
      </c>
      <c r="N20">
        <f t="shared" si="7"/>
        <v>61.53509982920783</v>
      </c>
    </row>
    <row r="21" spans="1:14" x14ac:dyDescent="0.3">
      <c r="B21">
        <f>B20/365.25</f>
        <v>2.6841674383648053</v>
      </c>
      <c r="C21" t="s">
        <v>79</v>
      </c>
      <c r="F21">
        <v>17</v>
      </c>
      <c r="G21">
        <f t="shared" si="8"/>
        <v>113.63340873029009</v>
      </c>
      <c r="H21">
        <f t="shared" si="1"/>
        <v>5.681670436514505</v>
      </c>
      <c r="I21">
        <f t="shared" si="2"/>
        <v>62.092500000000001</v>
      </c>
      <c r="J21">
        <f t="shared" si="9"/>
        <v>67.77417043651451</v>
      </c>
      <c r="K21">
        <f t="shared" si="4"/>
        <v>372.92189675494882</v>
      </c>
      <c r="L21">
        <f t="shared" si="5"/>
        <v>18.646094837747441</v>
      </c>
      <c r="M21">
        <f t="shared" si="6"/>
        <v>39.812249999999999</v>
      </c>
      <c r="N21">
        <f t="shared" si="7"/>
        <v>58.45834483774744</v>
      </c>
    </row>
    <row r="22" spans="1:14" x14ac:dyDescent="0.3">
      <c r="A22" t="s">
        <v>80</v>
      </c>
      <c r="B22">
        <f>B18/B16*1000</f>
        <v>36697.247706422022</v>
      </c>
      <c r="C22" t="s">
        <v>76</v>
      </c>
      <c r="F22">
        <v>18</v>
      </c>
      <c r="G22">
        <f t="shared" si="8"/>
        <v>45.859238293775576</v>
      </c>
      <c r="H22">
        <f t="shared" si="1"/>
        <v>2.292961914688779</v>
      </c>
      <c r="I22">
        <f t="shared" si="2"/>
        <v>62.092500000000001</v>
      </c>
      <c r="J22">
        <f t="shared" si="9"/>
        <v>64.385461914688776</v>
      </c>
      <c r="K22">
        <f t="shared" si="4"/>
        <v>314.46355191720136</v>
      </c>
      <c r="L22">
        <f t="shared" si="5"/>
        <v>15.723177595860069</v>
      </c>
      <c r="M22">
        <f t="shared" si="6"/>
        <v>39.812249999999999</v>
      </c>
      <c r="N22">
        <f t="shared" si="7"/>
        <v>55.535427595860071</v>
      </c>
    </row>
    <row r="23" spans="1:14" x14ac:dyDescent="0.3">
      <c r="B23">
        <f>B22/24</f>
        <v>1529.0519877675843</v>
      </c>
      <c r="C23" t="s">
        <v>78</v>
      </c>
      <c r="F23">
        <v>19</v>
      </c>
      <c r="G23">
        <f t="shared" si="8"/>
        <v>-18.5262236209132</v>
      </c>
      <c r="H23">
        <f t="shared" si="1"/>
        <v>-0.92631118104566001</v>
      </c>
      <c r="I23">
        <f t="shared" si="2"/>
        <v>62.092500000000001</v>
      </c>
      <c r="J23">
        <f t="shared" si="9"/>
        <v>61.166188818954339</v>
      </c>
      <c r="K23">
        <f t="shared" si="4"/>
        <v>258.92812432134127</v>
      </c>
      <c r="L23">
        <f t="shared" si="5"/>
        <v>12.946406216067064</v>
      </c>
      <c r="M23">
        <f t="shared" si="6"/>
        <v>39.812249999999999</v>
      </c>
      <c r="N23">
        <f t="shared" si="7"/>
        <v>52.758656216067067</v>
      </c>
    </row>
    <row r="24" spans="1:14" x14ac:dyDescent="0.3">
      <c r="B24">
        <f>B23/365.25</f>
        <v>4.1863161882753843</v>
      </c>
      <c r="C24" t="s">
        <v>79</v>
      </c>
      <c r="F24">
        <v>20</v>
      </c>
      <c r="G24">
        <f t="shared" si="8"/>
        <v>-79.692412439867539</v>
      </c>
      <c r="H24">
        <f t="shared" si="1"/>
        <v>-3.9846206219933773</v>
      </c>
      <c r="I24">
        <f t="shared" si="2"/>
        <v>62.092500000000001</v>
      </c>
      <c r="J24">
        <f t="shared" si="9"/>
        <v>58.107879378006622</v>
      </c>
      <c r="K24">
        <f t="shared" si="4"/>
        <v>206.16946810527421</v>
      </c>
      <c r="L24">
        <f t="shared" si="5"/>
        <v>10.308473405263712</v>
      </c>
      <c r="M24">
        <f t="shared" si="6"/>
        <v>39.812249999999999</v>
      </c>
      <c r="N24">
        <f t="shared" si="7"/>
        <v>50.120723405263711</v>
      </c>
    </row>
    <row r="25" spans="1:14" x14ac:dyDescent="0.3">
      <c r="F25">
        <v>21</v>
      </c>
      <c r="G25">
        <f t="shared" si="8"/>
        <v>-137.80029181787415</v>
      </c>
      <c r="H25">
        <f t="shared" si="1"/>
        <v>-6.890014590893708</v>
      </c>
      <c r="I25">
        <f t="shared" si="2"/>
        <v>62.092500000000001</v>
      </c>
      <c r="J25">
        <f t="shared" si="9"/>
        <v>55.202485409106295</v>
      </c>
      <c r="K25">
        <f t="shared" si="4"/>
        <v>156.0487447000105</v>
      </c>
      <c r="L25">
        <f t="shared" si="5"/>
        <v>7.8024372350005251</v>
      </c>
      <c r="M25">
        <f t="shared" si="6"/>
        <v>39.812249999999999</v>
      </c>
      <c r="N25">
        <f t="shared" si="7"/>
        <v>47.614687235000524</v>
      </c>
    </row>
    <row r="26" spans="1:14" x14ac:dyDescent="0.3">
      <c r="A26" t="s">
        <v>85</v>
      </c>
      <c r="B26" s="3">
        <v>0.05</v>
      </c>
      <c r="C26" t="s">
        <v>86</v>
      </c>
      <c r="F26">
        <v>22</v>
      </c>
      <c r="G26">
        <f t="shared" si="8"/>
        <v>-193.00277722698044</v>
      </c>
      <c r="H26">
        <f t="shared" si="1"/>
        <v>-9.6501388613490224</v>
      </c>
      <c r="I26">
        <f t="shared" si="2"/>
        <v>62.092500000000001</v>
      </c>
      <c r="J26">
        <f t="shared" si="9"/>
        <v>52.44236113865098</v>
      </c>
      <c r="K26">
        <f t="shared" si="4"/>
        <v>108.43405746500997</v>
      </c>
      <c r="L26">
        <f t="shared" si="5"/>
        <v>5.4217028732504993</v>
      </c>
      <c r="M26">
        <f t="shared" si="6"/>
        <v>39.812249999999999</v>
      </c>
      <c r="N26">
        <f t="shared" si="7"/>
        <v>45.233952873250502</v>
      </c>
    </row>
    <row r="27" spans="1:14" x14ac:dyDescent="0.3">
      <c r="A27" t="s">
        <v>89</v>
      </c>
      <c r="B27">
        <f>365.25*24/12</f>
        <v>730.5</v>
      </c>
      <c r="C27" t="s">
        <v>8</v>
      </c>
      <c r="F27">
        <v>23</v>
      </c>
      <c r="G27">
        <f t="shared" si="8"/>
        <v>-245.44513836563141</v>
      </c>
      <c r="H27">
        <f t="shared" si="1"/>
        <v>-12.27225691828157</v>
      </c>
      <c r="I27">
        <f t="shared" si="2"/>
        <v>62.092500000000001</v>
      </c>
      <c r="J27">
        <f t="shared" si="9"/>
        <v>49.820243081718431</v>
      </c>
      <c r="K27">
        <f t="shared" si="4"/>
        <v>63.200104591759469</v>
      </c>
      <c r="L27">
        <f t="shared" si="5"/>
        <v>3.1600052295879735</v>
      </c>
      <c r="M27">
        <f t="shared" si="6"/>
        <v>39.812249999999999</v>
      </c>
      <c r="N27">
        <f t="shared" si="7"/>
        <v>42.972255229587972</v>
      </c>
    </row>
    <row r="28" spans="1:14" x14ac:dyDescent="0.3">
      <c r="F28">
        <v>24</v>
      </c>
      <c r="G28">
        <f t="shared" si="8"/>
        <v>-295.26538144734985</v>
      </c>
      <c r="H28">
        <f t="shared" si="1"/>
        <v>-14.763269072367493</v>
      </c>
      <c r="I28">
        <f t="shared" si="2"/>
        <v>62.092500000000001</v>
      </c>
      <c r="J28">
        <f t="shared" si="9"/>
        <v>47.329230927632508</v>
      </c>
      <c r="K28">
        <f t="shared" si="4"/>
        <v>20.227849362171497</v>
      </c>
      <c r="L28">
        <f t="shared" si="5"/>
        <v>1.0113924681085749</v>
      </c>
      <c r="M28">
        <f t="shared" si="6"/>
        <v>39.812249999999999</v>
      </c>
      <c r="N28">
        <f t="shared" si="7"/>
        <v>40.823642468108574</v>
      </c>
    </row>
    <row r="29" spans="1:14" x14ac:dyDescent="0.3">
      <c r="F29">
        <v>25</v>
      </c>
      <c r="G29">
        <f t="shared" si="8"/>
        <v>-342.59461237498238</v>
      </c>
      <c r="H29">
        <f t="shared" si="1"/>
        <v>-17.129730618749118</v>
      </c>
      <c r="I29">
        <f t="shared" si="2"/>
        <v>62.092500000000001</v>
      </c>
      <c r="J29">
        <f t="shared" si="9"/>
        <v>44.96276938125088</v>
      </c>
      <c r="K29">
        <f t="shared" si="4"/>
        <v>-20.595793105937076</v>
      </c>
      <c r="L29">
        <f t="shared" si="5"/>
        <v>-1.029789655296854</v>
      </c>
      <c r="M29">
        <f t="shared" si="6"/>
        <v>39.812249999999999</v>
      </c>
      <c r="N29">
        <f t="shared" si="7"/>
        <v>38.782460344703146</v>
      </c>
    </row>
    <row r="30" spans="1:14" x14ac:dyDescent="0.3">
      <c r="F30">
        <v>26</v>
      </c>
      <c r="G30">
        <f>G29-J29</f>
        <v>-387.55738175623327</v>
      </c>
      <c r="H30">
        <f>G30*$B$26</f>
        <v>-19.377869087811664</v>
      </c>
      <c r="I30">
        <f>$B$15/1000*$B$27</f>
        <v>62.092500000000001</v>
      </c>
      <c r="J30">
        <f>H30+I30</f>
        <v>42.714630912188341</v>
      </c>
      <c r="K30">
        <f t="shared" si="4"/>
        <v>-59.378253450640223</v>
      </c>
      <c r="L30">
        <f t="shared" si="5"/>
        <v>-2.9689126725320114</v>
      </c>
      <c r="M30">
        <f t="shared" si="6"/>
        <v>39.812249999999999</v>
      </c>
      <c r="N30">
        <f t="shared" si="7"/>
        <v>36.843337327467985</v>
      </c>
    </row>
    <row r="31" spans="1:14" x14ac:dyDescent="0.3">
      <c r="F31">
        <v>27</v>
      </c>
      <c r="G31">
        <f t="shared" ref="G31" si="10">G30-J30</f>
        <v>-430.27201266842161</v>
      </c>
      <c r="H31">
        <f t="shared" si="1"/>
        <v>-21.513600633421081</v>
      </c>
      <c r="I31">
        <f t="shared" si="2"/>
        <v>62.092500000000001</v>
      </c>
      <c r="J31">
        <f t="shared" ref="J31" si="11">H31+I31</f>
        <v>40.578899366578923</v>
      </c>
      <c r="K31">
        <f t="shared" si="4"/>
        <v>-96.221590778108208</v>
      </c>
      <c r="L31">
        <f t="shared" si="5"/>
        <v>-4.8110795389054104</v>
      </c>
      <c r="M31">
        <f t="shared" si="6"/>
        <v>39.812249999999999</v>
      </c>
      <c r="N31">
        <f t="shared" si="7"/>
        <v>35.001170461094588</v>
      </c>
    </row>
    <row r="32" spans="1:14" x14ac:dyDescent="0.3">
      <c r="F32">
        <v>28</v>
      </c>
      <c r="K32">
        <f t="shared" si="4"/>
        <v>-131.22276123920278</v>
      </c>
      <c r="L32">
        <f t="shared" si="5"/>
        <v>-6.5611380619601398</v>
      </c>
      <c r="M32">
        <f t="shared" si="6"/>
        <v>39.812249999999999</v>
      </c>
      <c r="N32">
        <f t="shared" si="7"/>
        <v>33.251111938039855</v>
      </c>
    </row>
    <row r="33" spans="6:14" x14ac:dyDescent="0.3">
      <c r="F33">
        <v>29</v>
      </c>
      <c r="K33">
        <f t="shared" si="4"/>
        <v>-164.47387317724264</v>
      </c>
      <c r="L33">
        <f t="shared" si="5"/>
        <v>-8.2236936588621319</v>
      </c>
      <c r="M33">
        <f t="shared" si="6"/>
        <v>39.812249999999999</v>
      </c>
      <c r="N33">
        <f t="shared" si="7"/>
        <v>31.588556341137867</v>
      </c>
    </row>
    <row r="34" spans="6:14" x14ac:dyDescent="0.3">
      <c r="F34">
        <v>30</v>
      </c>
      <c r="K34">
        <f t="shared" si="4"/>
        <v>-196.0624295183805</v>
      </c>
      <c r="L34">
        <f t="shared" si="5"/>
        <v>-9.8031214759190259</v>
      </c>
      <c r="M34">
        <f t="shared" si="6"/>
        <v>39.812249999999999</v>
      </c>
      <c r="N34">
        <f t="shared" si="7"/>
        <v>30.009128524080971</v>
      </c>
    </row>
    <row r="35" spans="6:14" x14ac:dyDescent="0.3">
      <c r="F35">
        <v>31</v>
      </c>
      <c r="K35">
        <f t="shared" si="4"/>
        <v>-226.07155804246148</v>
      </c>
      <c r="L35">
        <f t="shared" si="5"/>
        <v>-11.303577902123074</v>
      </c>
      <c r="M35">
        <f t="shared" si="6"/>
        <v>39.812249999999999</v>
      </c>
      <c r="N35">
        <f t="shared" si="7"/>
        <v>28.508672097876925</v>
      </c>
    </row>
    <row r="36" spans="6:14" x14ac:dyDescent="0.3">
      <c r="F36">
        <v>32</v>
      </c>
      <c r="K36">
        <f t="shared" si="4"/>
        <v>-254.58023014033841</v>
      </c>
      <c r="L36">
        <f t="shared" si="5"/>
        <v>-12.729011507016921</v>
      </c>
      <c r="M36">
        <f t="shared" si="6"/>
        <v>39.812249999999999</v>
      </c>
      <c r="N36">
        <f t="shared" si="7"/>
        <v>27.083238492983078</v>
      </c>
    </row>
    <row r="37" spans="6:14" x14ac:dyDescent="0.3">
      <c r="F37">
        <v>33</v>
      </c>
      <c r="K37">
        <f t="shared" si="4"/>
        <v>-281.66346863332149</v>
      </c>
      <c r="L37">
        <f t="shared" si="5"/>
        <v>-14.083173431666076</v>
      </c>
      <c r="M37">
        <f t="shared" si="6"/>
        <v>39.812249999999999</v>
      </c>
      <c r="N37">
        <f t="shared" si="7"/>
        <v>25.729076568333923</v>
      </c>
    </row>
    <row r="38" spans="6:14" x14ac:dyDescent="0.3">
      <c r="F38">
        <v>34</v>
      </c>
      <c r="K38">
        <f t="shared" si="4"/>
        <v>-307.39254520165542</v>
      </c>
      <c r="L38">
        <f t="shared" si="5"/>
        <v>-15.369627260082773</v>
      </c>
      <c r="M38">
        <f t="shared" si="6"/>
        <v>39.812249999999999</v>
      </c>
      <c r="N38">
        <f t="shared" si="7"/>
        <v>24.442622739917226</v>
      </c>
    </row>
    <row r="39" spans="6:14" x14ac:dyDescent="0.3">
      <c r="F39">
        <v>35</v>
      </c>
      <c r="K39">
        <f t="shared" si="4"/>
        <v>-331.83516794157265</v>
      </c>
      <c r="L39">
        <f t="shared" si="5"/>
        <v>-16.591758397078632</v>
      </c>
      <c r="M39">
        <f t="shared" si="6"/>
        <v>39.812249999999999</v>
      </c>
      <c r="N39">
        <f t="shared" si="7"/>
        <v>23.220491602921367</v>
      </c>
    </row>
    <row r="40" spans="6:14" x14ac:dyDescent="0.3">
      <c r="F40">
        <v>36</v>
      </c>
      <c r="K40">
        <f t="shared" si="4"/>
        <v>-355.05565954449401</v>
      </c>
      <c r="L40">
        <f t="shared" si="5"/>
        <v>-17.752782977224701</v>
      </c>
      <c r="M40">
        <f t="shared" si="6"/>
        <v>39.812249999999999</v>
      </c>
      <c r="N40">
        <f t="shared" si="7"/>
        <v>22.059467022775298</v>
      </c>
    </row>
    <row r="41" spans="6:14" x14ac:dyDescent="0.3">
      <c r="F41">
        <v>37</v>
      </c>
      <c r="K41">
        <f t="shared" si="4"/>
        <v>-377.11512656726933</v>
      </c>
      <c r="L41">
        <f t="shared" si="5"/>
        <v>-18.855756328363466</v>
      </c>
      <c r="M41">
        <f t="shared" si="6"/>
        <v>39.812249999999999</v>
      </c>
      <c r="N41">
        <f t="shared" si="7"/>
        <v>20.956493671636533</v>
      </c>
    </row>
    <row r="42" spans="6:14" x14ac:dyDescent="0.3">
      <c r="F42">
        <v>38</v>
      </c>
      <c r="K42">
        <f t="shared" si="4"/>
        <v>-398.07162023890584</v>
      </c>
      <c r="L42">
        <f t="shared" si="5"/>
        <v>-19.903581011945292</v>
      </c>
      <c r="M42">
        <f t="shared" si="6"/>
        <v>39.812249999999999</v>
      </c>
      <c r="N42">
        <f t="shared" si="7"/>
        <v>19.908668988054707</v>
      </c>
    </row>
    <row r="43" spans="6:14" x14ac:dyDescent="0.3">
      <c r="F43">
        <v>39</v>
      </c>
      <c r="K43">
        <f t="shared" si="4"/>
        <v>-417.98028922696056</v>
      </c>
      <c r="L43">
        <f t="shared" si="5"/>
        <v>-20.899014461348031</v>
      </c>
      <c r="M43">
        <f t="shared" si="6"/>
        <v>39.812249999999999</v>
      </c>
      <c r="N43">
        <f t="shared" si="7"/>
        <v>18.913235538651968</v>
      </c>
    </row>
    <row r="44" spans="6:14" x14ac:dyDescent="0.3">
      <c r="F44">
        <v>40</v>
      </c>
      <c r="K44">
        <f t="shared" si="4"/>
        <v>-436.89352476561254</v>
      </c>
      <c r="L44">
        <f t="shared" si="5"/>
        <v>-21.844676238280627</v>
      </c>
      <c r="M44">
        <f t="shared" si="6"/>
        <v>39.812249999999999</v>
      </c>
      <c r="N44">
        <f t="shared" si="7"/>
        <v>17.967573761719372</v>
      </c>
    </row>
    <row r="45" spans="6:14" x14ac:dyDescent="0.3">
      <c r="F45">
        <v>41</v>
      </c>
      <c r="K45">
        <f t="shared" si="4"/>
        <v>-454.86109852733193</v>
      </c>
      <c r="L45">
        <f t="shared" si="5"/>
        <v>-22.743054926366597</v>
      </c>
      <c r="M45">
        <f t="shared" si="6"/>
        <v>39.812249999999999</v>
      </c>
      <c r="N45">
        <f t="shared" si="7"/>
        <v>17.069195073633402</v>
      </c>
    </row>
    <row r="46" spans="6:14" x14ac:dyDescent="0.3">
      <c r="F46">
        <v>42</v>
      </c>
      <c r="K46">
        <f t="shared" si="4"/>
        <v>-471.93029360096534</v>
      </c>
      <c r="L46">
        <f t="shared" si="5"/>
        <v>-23.596514680048269</v>
      </c>
      <c r="M46">
        <f t="shared" si="6"/>
        <v>39.812249999999999</v>
      </c>
      <c r="N46">
        <f t="shared" si="7"/>
        <v>16.21573531995173</v>
      </c>
    </row>
  </sheetData>
  <conditionalFormatting sqref="G1:G1048576 K1:K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EFA9-BFD9-4C4C-A839-7D08EFC36D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7A82-737B-4234-B5EF-1AD368197F76}">
  <dimension ref="A2:E12"/>
  <sheetViews>
    <sheetView workbookViewId="0">
      <selection activeCell="B12" sqref="B12"/>
    </sheetView>
  </sheetViews>
  <sheetFormatPr defaultRowHeight="14.4" x14ac:dyDescent="0.3"/>
  <cols>
    <col min="1" max="1" width="14.88671875" bestFit="1" customWidth="1"/>
  </cols>
  <sheetData>
    <row r="2" spans="1:5" x14ac:dyDescent="0.3">
      <c r="A2" t="s">
        <v>5</v>
      </c>
      <c r="B2">
        <v>1000</v>
      </c>
      <c r="C2">
        <v>1500</v>
      </c>
      <c r="D2">
        <v>2000</v>
      </c>
      <c r="E2" t="s">
        <v>7</v>
      </c>
    </row>
    <row r="3" spans="1:5" x14ac:dyDescent="0.3">
      <c r="A3" t="s">
        <v>22</v>
      </c>
      <c r="B3">
        <f>0.2*B2</f>
        <v>200</v>
      </c>
      <c r="C3">
        <f>0.2*C2</f>
        <v>300</v>
      </c>
      <c r="D3">
        <f>0.2*D2</f>
        <v>400</v>
      </c>
      <c r="E3" t="s">
        <v>14</v>
      </c>
    </row>
    <row r="4" spans="1:5" x14ac:dyDescent="0.3">
      <c r="A4" t="s">
        <v>23</v>
      </c>
      <c r="B4">
        <f>1200/B3</f>
        <v>6</v>
      </c>
      <c r="C4">
        <f>1200/C3</f>
        <v>4</v>
      </c>
      <c r="D4">
        <f>1200/D3</f>
        <v>3</v>
      </c>
      <c r="E4" t="s">
        <v>20</v>
      </c>
    </row>
    <row r="5" spans="1:5" x14ac:dyDescent="0.3">
      <c r="A5" t="s">
        <v>24</v>
      </c>
      <c r="B5">
        <v>5.6</v>
      </c>
      <c r="C5">
        <v>3.9</v>
      </c>
      <c r="D5">
        <v>3</v>
      </c>
      <c r="E5" t="s">
        <v>20</v>
      </c>
    </row>
    <row r="6" spans="1:5" x14ac:dyDescent="0.3">
      <c r="A6" t="s">
        <v>25</v>
      </c>
      <c r="B6">
        <f>1200/B5</f>
        <v>214.28571428571431</v>
      </c>
      <c r="C6">
        <f>1200/C5</f>
        <v>307.69230769230768</v>
      </c>
      <c r="D6">
        <f>1200/D5</f>
        <v>400</v>
      </c>
      <c r="E6" t="s">
        <v>14</v>
      </c>
    </row>
    <row r="7" spans="1:5" x14ac:dyDescent="0.3">
      <c r="A7" t="s">
        <v>26</v>
      </c>
      <c r="B7">
        <v>46</v>
      </c>
      <c r="C7">
        <v>46</v>
      </c>
      <c r="D7">
        <v>46</v>
      </c>
      <c r="E7" t="s">
        <v>14</v>
      </c>
    </row>
    <row r="8" spans="1:5" x14ac:dyDescent="0.3">
      <c r="A8" t="s">
        <v>27</v>
      </c>
      <c r="B8">
        <f>1200/B7</f>
        <v>26.086956521739129</v>
      </c>
      <c r="C8">
        <f>1200/C7</f>
        <v>26.086956521739129</v>
      </c>
      <c r="D8">
        <f>1200/D7</f>
        <v>26.086956521739129</v>
      </c>
      <c r="E8" t="s">
        <v>20</v>
      </c>
    </row>
    <row r="9" spans="1:5" x14ac:dyDescent="0.3">
      <c r="A9" t="s">
        <v>28</v>
      </c>
      <c r="B9">
        <f>B8-B5</f>
        <v>20.486956521739131</v>
      </c>
      <c r="C9">
        <f>C8-C5</f>
        <v>22.18695652173913</v>
      </c>
      <c r="D9">
        <f>D8-D5</f>
        <v>23.086956521739129</v>
      </c>
      <c r="E9" t="s">
        <v>20</v>
      </c>
    </row>
    <row r="10" spans="1:5" x14ac:dyDescent="0.3">
      <c r="A10" t="s">
        <v>29</v>
      </c>
      <c r="B10">
        <v>20</v>
      </c>
      <c r="C10">
        <v>22</v>
      </c>
      <c r="D10">
        <v>22</v>
      </c>
      <c r="E10" t="s">
        <v>20</v>
      </c>
    </row>
    <row r="11" spans="1:5" x14ac:dyDescent="0.3">
      <c r="A11" t="s">
        <v>30</v>
      </c>
      <c r="B11">
        <f>B10+B5</f>
        <v>25.6</v>
      </c>
      <c r="C11">
        <f>C10+C5</f>
        <v>25.9</v>
      </c>
      <c r="D11">
        <f>D10+D5</f>
        <v>25</v>
      </c>
      <c r="E11" t="s">
        <v>20</v>
      </c>
    </row>
    <row r="12" spans="1:5" x14ac:dyDescent="0.3">
      <c r="A12" t="s">
        <v>31</v>
      </c>
      <c r="B12">
        <f>1200/B11</f>
        <v>46.875</v>
      </c>
      <c r="C12">
        <f>1200/C11</f>
        <v>46.332046332046332</v>
      </c>
      <c r="D12">
        <f>1200/D11</f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9DA4-3BB5-486B-A83C-EDF70B7A698D}">
  <dimension ref="A1:C19"/>
  <sheetViews>
    <sheetView workbookViewId="0">
      <selection activeCell="B32" sqref="B32"/>
    </sheetView>
  </sheetViews>
  <sheetFormatPr defaultRowHeight="14.4" x14ac:dyDescent="0.3"/>
  <cols>
    <col min="1" max="1" width="10" bestFit="1" customWidth="1"/>
  </cols>
  <sheetData>
    <row r="1" spans="1:3" x14ac:dyDescent="0.3">
      <c r="A1" s="1" t="s">
        <v>49</v>
      </c>
      <c r="B1" s="1" t="s">
        <v>50</v>
      </c>
      <c r="C1" s="1" t="s">
        <v>51</v>
      </c>
    </row>
    <row r="2" spans="1:3" x14ac:dyDescent="0.3">
      <c r="A2" t="s">
        <v>32</v>
      </c>
      <c r="B2">
        <v>0.55000000000000004</v>
      </c>
      <c r="C2" t="s">
        <v>11</v>
      </c>
    </row>
    <row r="3" spans="1:3" x14ac:dyDescent="0.3">
      <c r="A3" t="s">
        <v>33</v>
      </c>
      <c r="B3">
        <v>560</v>
      </c>
      <c r="C3" t="s">
        <v>20</v>
      </c>
    </row>
    <row r="4" spans="1:3" x14ac:dyDescent="0.3">
      <c r="A4" t="s">
        <v>34</v>
      </c>
      <c r="B4">
        <v>100</v>
      </c>
      <c r="C4" t="s">
        <v>20</v>
      </c>
    </row>
    <row r="5" spans="1:3" x14ac:dyDescent="0.3">
      <c r="A5" t="s">
        <v>35</v>
      </c>
      <c r="B5">
        <f>B2/B4*(B3+B4)</f>
        <v>3.6300000000000003</v>
      </c>
      <c r="C5" t="s">
        <v>11</v>
      </c>
    </row>
    <row r="6" spans="1:3" x14ac:dyDescent="0.3">
      <c r="A6" t="s">
        <v>63</v>
      </c>
      <c r="B6">
        <f>B5/(B3+B4)*1000</f>
        <v>5.5000000000000009</v>
      </c>
      <c r="C6" t="s">
        <v>64</v>
      </c>
    </row>
    <row r="7" spans="1:3" x14ac:dyDescent="0.3">
      <c r="B7" s="2"/>
    </row>
    <row r="8" spans="1:3" x14ac:dyDescent="0.3">
      <c r="B8" s="2"/>
    </row>
    <row r="10" spans="1:3" x14ac:dyDescent="0.3">
      <c r="A10" t="s">
        <v>40</v>
      </c>
      <c r="B10">
        <v>4.2</v>
      </c>
      <c r="C10" t="s">
        <v>11</v>
      </c>
    </row>
    <row r="11" spans="1:3" x14ac:dyDescent="0.3">
      <c r="A11" t="s">
        <v>38</v>
      </c>
      <c r="B11">
        <v>0.4</v>
      </c>
      <c r="C11" t="s">
        <v>39</v>
      </c>
    </row>
    <row r="12" spans="1:3" x14ac:dyDescent="0.3">
      <c r="A12" t="s">
        <v>36</v>
      </c>
      <c r="B12">
        <f>(B10-B5)*B11</f>
        <v>0.22799999999999995</v>
      </c>
      <c r="C12" t="s">
        <v>37</v>
      </c>
    </row>
    <row r="15" spans="1:3" x14ac:dyDescent="0.3">
      <c r="A15" t="s">
        <v>62</v>
      </c>
      <c r="B15">
        <v>0.1</v>
      </c>
      <c r="C15" t="s">
        <v>64</v>
      </c>
    </row>
    <row r="16" spans="1:3" x14ac:dyDescent="0.3">
      <c r="A16" t="s">
        <v>66</v>
      </c>
      <c r="B16">
        <f>B2/B4*1000</f>
        <v>5.5000000000000009</v>
      </c>
      <c r="C16" t="s">
        <v>64</v>
      </c>
    </row>
    <row r="17" spans="1:3" x14ac:dyDescent="0.3">
      <c r="A17" t="s">
        <v>65</v>
      </c>
      <c r="B17">
        <f>B16+B15</f>
        <v>5.6000000000000005</v>
      </c>
      <c r="C17" t="s">
        <v>64</v>
      </c>
    </row>
    <row r="18" spans="1:3" x14ac:dyDescent="0.3">
      <c r="A18" t="s">
        <v>67</v>
      </c>
      <c r="B18">
        <f>B17*B3/1000</f>
        <v>3.1360000000000006</v>
      </c>
      <c r="C18" t="s">
        <v>11</v>
      </c>
    </row>
    <row r="19" spans="1:3" x14ac:dyDescent="0.3">
      <c r="A19" t="s">
        <v>35</v>
      </c>
      <c r="B19">
        <f>B18+B2</f>
        <v>3.6860000000000008</v>
      </c>
      <c r="C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Battery</vt:lpstr>
      <vt:lpstr>Load</vt:lpstr>
      <vt:lpstr>Model-HP35</vt:lpstr>
      <vt:lpstr>Zener Leakage</vt:lpstr>
      <vt:lpstr>BQ21040</vt:lpstr>
      <vt:lpstr>Quiescent Current</vt:lpstr>
      <vt:lpstr>Sheet1</vt:lpstr>
      <vt:lpstr>TP4056</vt:lpstr>
      <vt:lpstr>TLV758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2023-08-21T05:02:23Z</dcterms:created>
  <dcterms:modified xsi:type="dcterms:W3CDTF">2024-01-29T22:30:30Z</dcterms:modified>
</cp:coreProperties>
</file>