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66925"/>
  <xr:revisionPtr revIDLastSave="0" documentId="13_ncr:1_{8457680D-A14B-48F0-90A9-0E53A7FD75F5}" xr6:coauthVersionLast="47" xr6:coauthVersionMax="47" xr10:uidLastSave="{00000000-0000-0000-0000-000000000000}"/>
  <bookViews>
    <workbookView xWindow="-6705" yWindow="-21600" windowWidth="25860" windowHeight="20985" activeTab="4" xr2:uid="{E759E1F6-1C1B-4BE3-821A-721E9C2E8930}"/>
  </bookViews>
  <sheets>
    <sheet name="Battery" sheetId="1" r:id="rId1"/>
    <sheet name="Load" sheetId="2" r:id="rId2"/>
    <sheet name="Model" sheetId="3" r:id="rId3"/>
    <sheet name="BQ21040" sheetId="8" r:id="rId4"/>
    <sheet name="Quiescent Current" sheetId="7" r:id="rId5"/>
    <sheet name="TP4056" sheetId="5" r:id="rId6"/>
    <sheet name="TLV758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7" l="1"/>
  <c r="L6" i="7"/>
  <c r="N6" i="7" s="1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L5" i="7"/>
  <c r="N5" i="7" s="1"/>
  <c r="M5" i="7"/>
  <c r="K5" i="7"/>
  <c r="N4" i="7"/>
  <c r="M4" i="7"/>
  <c r="G30" i="7"/>
  <c r="H30" i="7" s="1"/>
  <c r="J30" i="7" s="1"/>
  <c r="I30" i="7"/>
  <c r="I31" i="7"/>
  <c r="G15" i="7"/>
  <c r="H15" i="7" s="1"/>
  <c r="J15" i="7" s="1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G6" i="7"/>
  <c r="H6" i="7" s="1"/>
  <c r="J6" i="7" s="1"/>
  <c r="G7" i="7" s="1"/>
  <c r="I6" i="7"/>
  <c r="I7" i="7"/>
  <c r="I8" i="7"/>
  <c r="I9" i="7"/>
  <c r="I10" i="7"/>
  <c r="I11" i="7"/>
  <c r="I12" i="7"/>
  <c r="I13" i="7"/>
  <c r="I14" i="7"/>
  <c r="I5" i="7"/>
  <c r="H5" i="7"/>
  <c r="J5" i="7" s="1"/>
  <c r="G5" i="7"/>
  <c r="J4" i="7"/>
  <c r="I4" i="7"/>
  <c r="K4" i="7"/>
  <c r="L4" i="7" s="1"/>
  <c r="G4" i="7"/>
  <c r="H4" i="7" s="1"/>
  <c r="B27" i="7"/>
  <c r="B16" i="6"/>
  <c r="B17" i="6" s="1"/>
  <c r="B18" i="6" s="1"/>
  <c r="B19" i="6" s="1"/>
  <c r="B17" i="8"/>
  <c r="B18" i="8" s="1"/>
  <c r="B16" i="8"/>
  <c r="B10" i="8"/>
  <c r="B9" i="8"/>
  <c r="B8" i="8"/>
  <c r="R11" i="3"/>
  <c r="B15" i="7"/>
  <c r="O3" i="3" s="1"/>
  <c r="H3" i="3" s="1"/>
  <c r="B5" i="6"/>
  <c r="B12" i="6" s="1"/>
  <c r="D12" i="5"/>
  <c r="C12" i="5"/>
  <c r="D11" i="5"/>
  <c r="C11" i="5"/>
  <c r="B11" i="5"/>
  <c r="B12" i="5" s="1"/>
  <c r="D9" i="5"/>
  <c r="C9" i="5"/>
  <c r="B9" i="5"/>
  <c r="D8" i="5"/>
  <c r="C8" i="5"/>
  <c r="B8" i="5"/>
  <c r="D6" i="5"/>
  <c r="C6" i="5"/>
  <c r="B6" i="5"/>
  <c r="D4" i="5"/>
  <c r="C4" i="5"/>
  <c r="B4" i="5"/>
  <c r="D3" i="5"/>
  <c r="C3" i="5"/>
  <c r="B3" i="5"/>
  <c r="C3" i="3"/>
  <c r="B41" i="1"/>
  <c r="B2" i="1"/>
  <c r="D3" i="3"/>
  <c r="E3" i="3" s="1" a="1"/>
  <c r="E3" i="3" s="1"/>
  <c r="F3" i="3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3" i="1"/>
  <c r="K7" i="7" l="1"/>
  <c r="G31" i="7"/>
  <c r="H31" i="7" s="1"/>
  <c r="J31" i="7" s="1"/>
  <c r="G16" i="7"/>
  <c r="H7" i="7"/>
  <c r="J7" i="7" s="1"/>
  <c r="G8" i="7" s="1"/>
  <c r="B19" i="7"/>
  <c r="B20" i="7" s="1"/>
  <c r="B21" i="7" s="1"/>
  <c r="B16" i="7"/>
  <c r="B22" i="7" s="1"/>
  <c r="B23" i="7" s="1"/>
  <c r="B24" i="7" s="1"/>
  <c r="B6" i="6"/>
  <c r="I3" i="3"/>
  <c r="C4" i="3" s="1"/>
  <c r="J3" i="3"/>
  <c r="G3" i="3"/>
  <c r="L7" i="7" l="1"/>
  <c r="N7" i="7" s="1"/>
  <c r="K8" i="7"/>
  <c r="H16" i="7"/>
  <c r="J16" i="7" s="1"/>
  <c r="G17" i="7"/>
  <c r="H8" i="7"/>
  <c r="J8" i="7" s="1"/>
  <c r="G9" i="7"/>
  <c r="B4" i="3"/>
  <c r="D4" i="3" s="1"/>
  <c r="E4" i="3" s="1" a="1"/>
  <c r="E4" i="3" s="1"/>
  <c r="L8" i="7" l="1"/>
  <c r="N8" i="7" s="1"/>
  <c r="K9" i="7"/>
  <c r="H17" i="7"/>
  <c r="J17" i="7" s="1"/>
  <c r="G18" i="7" s="1"/>
  <c r="H9" i="7"/>
  <c r="J9" i="7" s="1"/>
  <c r="G10" i="7"/>
  <c r="F4" i="3"/>
  <c r="H4" i="3" s="1"/>
  <c r="L9" i="7" l="1"/>
  <c r="N9" i="7" s="1"/>
  <c r="K10" i="7" s="1"/>
  <c r="H18" i="7"/>
  <c r="J18" i="7" s="1"/>
  <c r="G19" i="7" s="1"/>
  <c r="H10" i="7"/>
  <c r="J10" i="7" s="1"/>
  <c r="G11" i="7" s="1"/>
  <c r="J4" i="3"/>
  <c r="G4" i="3"/>
  <c r="L10" i="7" l="1"/>
  <c r="N10" i="7" s="1"/>
  <c r="K11" i="7"/>
  <c r="H19" i="7"/>
  <c r="J19" i="7" s="1"/>
  <c r="G20" i="7"/>
  <c r="H11" i="7"/>
  <c r="J11" i="7" s="1"/>
  <c r="G12" i="7" s="1"/>
  <c r="I4" i="3"/>
  <c r="C5" i="3" s="1"/>
  <c r="B5" i="3" s="1"/>
  <c r="D5" i="3" s="1"/>
  <c r="E5" i="3" s="1" a="1"/>
  <c r="E5" i="3" s="1"/>
  <c r="F5" i="3" s="1"/>
  <c r="H5" i="3" s="1"/>
  <c r="L11" i="7" l="1"/>
  <c r="N11" i="7" s="1"/>
  <c r="K12" i="7"/>
  <c r="H20" i="7"/>
  <c r="J20" i="7" s="1"/>
  <c r="G21" i="7" s="1"/>
  <c r="H12" i="7"/>
  <c r="J12" i="7" s="1"/>
  <c r="G13" i="7"/>
  <c r="J5" i="3"/>
  <c r="G5" i="3"/>
  <c r="I5" i="3" s="1"/>
  <c r="C6" i="3" s="1"/>
  <c r="B6" i="3" s="1"/>
  <c r="D6" i="3" s="1"/>
  <c r="E6" i="3" s="1" a="1"/>
  <c r="E6" i="3" s="1"/>
  <c r="F6" i="3" s="1"/>
  <c r="H6" i="3" s="1"/>
  <c r="L12" i="7" l="1"/>
  <c r="N12" i="7" s="1"/>
  <c r="K13" i="7" s="1"/>
  <c r="H21" i="7"/>
  <c r="J21" i="7" s="1"/>
  <c r="G22" i="7"/>
  <c r="H13" i="7"/>
  <c r="J13" i="7" s="1"/>
  <c r="G14" i="7" s="1"/>
  <c r="H14" i="7" s="1"/>
  <c r="J14" i="7" s="1"/>
  <c r="J6" i="3"/>
  <c r="G6" i="3"/>
  <c r="I6" i="3"/>
  <c r="C7" i="3" s="1"/>
  <c r="B7" i="3" s="1"/>
  <c r="D7" i="3" s="1"/>
  <c r="E7" i="3" s="1" a="1"/>
  <c r="E7" i="3" s="1"/>
  <c r="L13" i="7" l="1"/>
  <c r="N13" i="7" s="1"/>
  <c r="K14" i="7" s="1"/>
  <c r="H22" i="7"/>
  <c r="J22" i="7" s="1"/>
  <c r="G23" i="7" s="1"/>
  <c r="F7" i="3"/>
  <c r="H7" i="3" s="1"/>
  <c r="L14" i="7" l="1"/>
  <c r="N14" i="7" s="1"/>
  <c r="K15" i="7"/>
  <c r="H23" i="7"/>
  <c r="J23" i="7" s="1"/>
  <c r="G24" i="7"/>
  <c r="J7" i="3"/>
  <c r="G7" i="3"/>
  <c r="L15" i="7" l="1"/>
  <c r="N15" i="7" s="1"/>
  <c r="K16" i="7"/>
  <c r="H24" i="7"/>
  <c r="J24" i="7" s="1"/>
  <c r="G25" i="7"/>
  <c r="I7" i="3"/>
  <c r="C8" i="3" s="1"/>
  <c r="B8" i="3" s="1"/>
  <c r="D8" i="3" s="1"/>
  <c r="E8" i="3" s="1" a="1"/>
  <c r="E8" i="3" s="1"/>
  <c r="F8" i="3" s="1"/>
  <c r="H8" i="3" s="1"/>
  <c r="L16" i="7" l="1"/>
  <c r="N16" i="7" s="1"/>
  <c r="K17" i="7" s="1"/>
  <c r="H25" i="7"/>
  <c r="J25" i="7" s="1"/>
  <c r="G26" i="7"/>
  <c r="J8" i="3"/>
  <c r="G8" i="3"/>
  <c r="L17" i="7" l="1"/>
  <c r="N17" i="7" s="1"/>
  <c r="K18" i="7" s="1"/>
  <c r="H26" i="7"/>
  <c r="J26" i="7" s="1"/>
  <c r="G27" i="7" s="1"/>
  <c r="I8" i="3"/>
  <c r="C9" i="3" s="1"/>
  <c r="B9" i="3" s="1"/>
  <c r="D9" i="3" s="1"/>
  <c r="E9" i="3" s="1" a="1"/>
  <c r="E9" i="3" s="1"/>
  <c r="F9" i="3" s="1"/>
  <c r="H9" i="3" s="1"/>
  <c r="L18" i="7" l="1"/>
  <c r="N18" i="7" s="1"/>
  <c r="K19" i="7" s="1"/>
  <c r="H27" i="7"/>
  <c r="J27" i="7" s="1"/>
  <c r="G28" i="7"/>
  <c r="J9" i="3"/>
  <c r="G9" i="3"/>
  <c r="L19" i="7" l="1"/>
  <c r="N19" i="7" s="1"/>
  <c r="K20" i="7"/>
  <c r="H28" i="7"/>
  <c r="J28" i="7" s="1"/>
  <c r="G29" i="7"/>
  <c r="H29" i="7" s="1"/>
  <c r="J29" i="7" s="1"/>
  <c r="I9" i="3"/>
  <c r="C10" i="3" s="1"/>
  <c r="B10" i="3" s="1"/>
  <c r="D10" i="3" s="1"/>
  <c r="E10" i="3" s="1" a="1"/>
  <c r="E10" i="3" s="1"/>
  <c r="F10" i="3" s="1"/>
  <c r="H10" i="3" s="1"/>
  <c r="L20" i="7" l="1"/>
  <c r="N20" i="7" s="1"/>
  <c r="K21" i="7"/>
  <c r="G10" i="3"/>
  <c r="I10" i="3"/>
  <c r="C11" i="3" s="1"/>
  <c r="B11" i="3" s="1"/>
  <c r="D11" i="3" s="1"/>
  <c r="E11" i="3" s="1" a="1"/>
  <c r="E11" i="3" s="1"/>
  <c r="F11" i="3" s="1"/>
  <c r="H11" i="3" s="1"/>
  <c r="L21" i="7" l="1"/>
  <c r="N21" i="7" s="1"/>
  <c r="K22" i="7" s="1"/>
  <c r="J11" i="3"/>
  <c r="J10" i="3"/>
  <c r="G11" i="3"/>
  <c r="I11" i="3"/>
  <c r="C12" i="3" s="1"/>
  <c r="B12" i="3" s="1"/>
  <c r="D12" i="3" s="1"/>
  <c r="E12" i="3" s="1" a="1"/>
  <c r="E12" i="3" s="1"/>
  <c r="L22" i="7" l="1"/>
  <c r="N22" i="7" s="1"/>
  <c r="K23" i="7"/>
  <c r="F12" i="3"/>
  <c r="H12" i="3" s="1"/>
  <c r="L23" i="7" l="1"/>
  <c r="N23" i="7" s="1"/>
  <c r="K24" i="7"/>
  <c r="J12" i="3"/>
  <c r="G12" i="3"/>
  <c r="L24" i="7" l="1"/>
  <c r="N24" i="7" s="1"/>
  <c r="K25" i="7"/>
  <c r="I12" i="3"/>
  <c r="C13" i="3" s="1"/>
  <c r="B13" i="3" s="1"/>
  <c r="D13" i="3" s="1"/>
  <c r="E13" i="3" s="1" a="1"/>
  <c r="E13" i="3" s="1"/>
  <c r="F13" i="3" s="1"/>
  <c r="H13" i="3" s="1"/>
  <c r="L25" i="7" l="1"/>
  <c r="N25" i="7" s="1"/>
  <c r="K26" i="7" s="1"/>
  <c r="J13" i="3"/>
  <c r="G13" i="3"/>
  <c r="L26" i="7" l="1"/>
  <c r="N26" i="7" s="1"/>
  <c r="K27" i="7"/>
  <c r="I13" i="3"/>
  <c r="C14" i="3" s="1"/>
  <c r="B14" i="3" s="1"/>
  <c r="D14" i="3" s="1"/>
  <c r="E14" i="3" s="1" a="1"/>
  <c r="E14" i="3" s="1"/>
  <c r="F14" i="3" s="1"/>
  <c r="H14" i="3" s="1"/>
  <c r="L27" i="7" l="1"/>
  <c r="N27" i="7" s="1"/>
  <c r="K28" i="7"/>
  <c r="J14" i="3"/>
  <c r="G14" i="3"/>
  <c r="I14" i="3"/>
  <c r="C15" i="3" s="1"/>
  <c r="B15" i="3" s="1"/>
  <c r="D15" i="3" s="1"/>
  <c r="E15" i="3" s="1" a="1"/>
  <c r="E15" i="3" s="1"/>
  <c r="L28" i="7" l="1"/>
  <c r="N28" i="7" s="1"/>
  <c r="K29" i="7"/>
  <c r="F15" i="3"/>
  <c r="H15" i="3" s="1"/>
  <c r="L29" i="7" l="1"/>
  <c r="N29" i="7" s="1"/>
  <c r="K30" i="7" s="1"/>
  <c r="J15" i="3"/>
  <c r="G15" i="3"/>
  <c r="I15" i="3"/>
  <c r="C16" i="3" s="1"/>
  <c r="B16" i="3" s="1"/>
  <c r="D16" i="3" s="1"/>
  <c r="E16" i="3" s="1" a="1"/>
  <c r="E16" i="3" s="1"/>
  <c r="L30" i="7" l="1"/>
  <c r="N30" i="7" s="1"/>
  <c r="K31" i="7"/>
  <c r="F16" i="3"/>
  <c r="H16" i="3" s="1"/>
  <c r="L31" i="7" l="1"/>
  <c r="N31" i="7" s="1"/>
  <c r="K32" i="7"/>
  <c r="J16" i="3"/>
  <c r="G16" i="3"/>
  <c r="L32" i="7" l="1"/>
  <c r="N32" i="7" s="1"/>
  <c r="K33" i="7"/>
  <c r="I16" i="3"/>
  <c r="C17" i="3" s="1"/>
  <c r="B17" i="3" s="1"/>
  <c r="D17" i="3" s="1"/>
  <c r="E17" i="3" s="1" a="1"/>
  <c r="E17" i="3" s="1"/>
  <c r="F17" i="3" s="1"/>
  <c r="H17" i="3" s="1"/>
  <c r="L33" i="7" l="1"/>
  <c r="N33" i="7" s="1"/>
  <c r="K34" i="7" s="1"/>
  <c r="J17" i="3"/>
  <c r="G17" i="3"/>
  <c r="I17" i="3"/>
  <c r="C18" i="3" s="1"/>
  <c r="B18" i="3" s="1"/>
  <c r="D18" i="3" s="1"/>
  <c r="E18" i="3" s="1" a="1"/>
  <c r="E18" i="3" s="1"/>
  <c r="L34" i="7" l="1"/>
  <c r="N34" i="7" s="1"/>
  <c r="K35" i="7"/>
  <c r="F18" i="3"/>
  <c r="H18" i="3" s="1"/>
  <c r="L35" i="7" l="1"/>
  <c r="N35" i="7" s="1"/>
  <c r="K36" i="7"/>
  <c r="J18" i="3"/>
  <c r="G18" i="3"/>
  <c r="L36" i="7" l="1"/>
  <c r="N36" i="7" s="1"/>
  <c r="K37" i="7" s="1"/>
  <c r="I18" i="3"/>
  <c r="C19" i="3" s="1"/>
  <c r="B19" i="3" s="1"/>
  <c r="D19" i="3" s="1"/>
  <c r="E19" i="3" s="1" a="1"/>
  <c r="E19" i="3" s="1"/>
  <c r="F19" i="3" s="1"/>
  <c r="H19" i="3" s="1"/>
  <c r="L37" i="7" l="1"/>
  <c r="N37" i="7" s="1"/>
  <c r="K38" i="7" s="1"/>
  <c r="J19" i="3"/>
  <c r="G19" i="3"/>
  <c r="L38" i="7" l="1"/>
  <c r="N38" i="7" s="1"/>
  <c r="K39" i="7"/>
  <c r="I19" i="3"/>
  <c r="C20" i="3" s="1"/>
  <c r="B20" i="3" s="1"/>
  <c r="D20" i="3" s="1"/>
  <c r="E20" i="3" s="1" a="1"/>
  <c r="E20" i="3" s="1"/>
  <c r="F20" i="3" s="1"/>
  <c r="H20" i="3" s="1"/>
  <c r="L39" i="7" l="1"/>
  <c r="N39" i="7" s="1"/>
  <c r="K40" i="7"/>
  <c r="J20" i="3"/>
  <c r="G20" i="3"/>
  <c r="L40" i="7" l="1"/>
  <c r="N40" i="7" s="1"/>
  <c r="K41" i="7"/>
  <c r="I20" i="3"/>
  <c r="C21" i="3" s="1"/>
  <c r="B21" i="3" s="1"/>
  <c r="D21" i="3" s="1"/>
  <c r="E21" i="3" s="1" a="1"/>
  <c r="E21" i="3" s="1"/>
  <c r="F21" i="3" s="1"/>
  <c r="H21" i="3" s="1"/>
  <c r="L41" i="7" l="1"/>
  <c r="N41" i="7" s="1"/>
  <c r="K42" i="7" s="1"/>
  <c r="J21" i="3"/>
  <c r="G21" i="3"/>
  <c r="L42" i="7" l="1"/>
  <c r="N42" i="7" s="1"/>
  <c r="K43" i="7"/>
  <c r="I21" i="3"/>
  <c r="C22" i="3" s="1"/>
  <c r="B22" i="3" s="1"/>
  <c r="D22" i="3" s="1"/>
  <c r="E22" i="3" s="1" a="1"/>
  <c r="E22" i="3" s="1"/>
  <c r="F22" i="3" s="1"/>
  <c r="H22" i="3" s="1"/>
  <c r="L43" i="7" l="1"/>
  <c r="N43" i="7" s="1"/>
  <c r="K44" i="7"/>
  <c r="J22" i="3"/>
  <c r="G22" i="3"/>
  <c r="I22" i="3"/>
  <c r="C23" i="3" s="1"/>
  <c r="B23" i="3" s="1"/>
  <c r="D23" i="3" s="1"/>
  <c r="E23" i="3" s="1" a="1"/>
  <c r="E23" i="3" s="1"/>
  <c r="L44" i="7" l="1"/>
  <c r="N44" i="7" s="1"/>
  <c r="K45" i="7"/>
  <c r="F23" i="3"/>
  <c r="H23" i="3" s="1"/>
  <c r="L45" i="7" l="1"/>
  <c r="N45" i="7" s="1"/>
  <c r="K46" i="7" s="1"/>
  <c r="L46" i="7" s="1"/>
  <c r="N46" i="7" s="1"/>
  <c r="J23" i="3"/>
  <c r="G23" i="3"/>
  <c r="I23" i="3"/>
  <c r="C24" i="3" s="1"/>
  <c r="B24" i="3" s="1"/>
  <c r="D24" i="3" s="1"/>
  <c r="E24" i="3" s="1" a="1"/>
  <c r="E24" i="3" s="1"/>
  <c r="F24" i="3" l="1"/>
  <c r="H24" i="3" s="1"/>
  <c r="J24" i="3" l="1"/>
  <c r="G24" i="3"/>
  <c r="I24" i="3"/>
  <c r="C25" i="3" s="1"/>
  <c r="B25" i="3" s="1"/>
  <c r="D25" i="3" s="1"/>
  <c r="E25" i="3" s="1" a="1"/>
  <c r="E25" i="3" s="1"/>
  <c r="F25" i="3" l="1"/>
  <c r="H25" i="3" s="1"/>
  <c r="J25" i="3" l="1"/>
  <c r="G25" i="3"/>
  <c r="I25" i="3"/>
  <c r="C26" i="3" s="1"/>
  <c r="B26" i="3" s="1"/>
  <c r="D26" i="3" s="1"/>
  <c r="E26" i="3" s="1" a="1"/>
  <c r="E26" i="3" s="1"/>
  <c r="F26" i="3" l="1"/>
  <c r="H26" i="3" s="1"/>
  <c r="J26" i="3" l="1"/>
  <c r="G26" i="3"/>
  <c r="I26" i="3"/>
  <c r="C27" i="3" s="1"/>
  <c r="B27" i="3" s="1"/>
  <c r="D27" i="3" s="1"/>
  <c r="E27" i="3" s="1" a="1"/>
  <c r="E27" i="3" s="1"/>
  <c r="F27" i="3" l="1"/>
  <c r="H27" i="3" s="1"/>
  <c r="J27" i="3" l="1"/>
  <c r="G27" i="3"/>
  <c r="I27" i="3"/>
  <c r="C28" i="3" s="1"/>
  <c r="B28" i="3" s="1"/>
  <c r="D28" i="3" s="1"/>
  <c r="E28" i="3" s="1" a="1"/>
  <c r="E28" i="3" s="1"/>
  <c r="F28" i="3" l="1"/>
  <c r="H28" i="3" s="1"/>
  <c r="J28" i="3" l="1"/>
  <c r="G28" i="3"/>
  <c r="I28" i="3"/>
  <c r="C29" i="3" s="1"/>
  <c r="B29" i="3" s="1"/>
  <c r="D29" i="3" s="1"/>
  <c r="E29" i="3" s="1" a="1"/>
  <c r="E29" i="3" s="1"/>
  <c r="F29" i="3" l="1"/>
  <c r="H29" i="3" s="1"/>
  <c r="J29" i="3" l="1"/>
  <c r="G29" i="3"/>
  <c r="I29" i="3"/>
  <c r="C30" i="3" s="1"/>
  <c r="B30" i="3" s="1"/>
  <c r="D30" i="3" s="1"/>
  <c r="E30" i="3" s="1" a="1"/>
  <c r="E30" i="3" s="1"/>
  <c r="F30" i="3" l="1"/>
  <c r="H30" i="3" s="1"/>
  <c r="J30" i="3" l="1"/>
  <c r="G30" i="3"/>
  <c r="I30" i="3"/>
  <c r="C31" i="3" s="1"/>
  <c r="B31" i="3" s="1"/>
  <c r="D31" i="3" s="1"/>
  <c r="E31" i="3" s="1" a="1"/>
  <c r="E31" i="3" s="1"/>
  <c r="F31" i="3" l="1"/>
  <c r="H31" i="3" s="1"/>
  <c r="J31" i="3" l="1"/>
  <c r="G31" i="3"/>
  <c r="I31" i="3"/>
  <c r="C32" i="3" s="1"/>
  <c r="B32" i="3" s="1"/>
  <c r="D32" i="3" s="1"/>
  <c r="E32" i="3" s="1" a="1"/>
  <c r="E32" i="3" s="1"/>
  <c r="F32" i="3" l="1"/>
  <c r="H32" i="3" s="1"/>
  <c r="J32" i="3" l="1"/>
  <c r="G32" i="3"/>
  <c r="I32" i="3" l="1"/>
  <c r="C33" i="3" s="1"/>
  <c r="B33" i="3" s="1"/>
  <c r="D33" i="3" s="1"/>
  <c r="E33" i="3" s="1" a="1"/>
  <c r="E33" i="3" s="1"/>
  <c r="F33" i="3" s="1"/>
  <c r="H33" i="3" s="1"/>
  <c r="J33" i="3" l="1"/>
  <c r="G33" i="3"/>
  <c r="I33" i="3"/>
  <c r="C34" i="3" s="1"/>
  <c r="B34" i="3" s="1"/>
  <c r="D34" i="3" s="1"/>
  <c r="E34" i="3" s="1" a="1"/>
  <c r="E34" i="3" s="1"/>
  <c r="F34" i="3" l="1"/>
  <c r="H34" i="3" s="1"/>
  <c r="J34" i="3" l="1"/>
  <c r="G34" i="3"/>
  <c r="I34" i="3"/>
  <c r="C35" i="3" s="1"/>
  <c r="B35" i="3" s="1"/>
  <c r="D35" i="3" s="1"/>
  <c r="E35" i="3" s="1" a="1"/>
  <c r="E35" i="3" s="1"/>
  <c r="F35" i="3" l="1"/>
  <c r="H35" i="3" s="1"/>
  <c r="J35" i="3" l="1"/>
  <c r="G35" i="3"/>
  <c r="I35" i="3" l="1"/>
  <c r="C36" i="3" s="1"/>
  <c r="B36" i="3" s="1"/>
  <c r="D36" i="3" s="1"/>
  <c r="E36" i="3" s="1" a="1"/>
  <c r="E36" i="3" s="1"/>
  <c r="F36" i="3" s="1"/>
  <c r="H36" i="3" s="1"/>
  <c r="J36" i="3" l="1"/>
  <c r="G36" i="3"/>
  <c r="I36" i="3"/>
  <c r="C37" i="3" s="1"/>
  <c r="B37" i="3" s="1"/>
  <c r="D37" i="3" s="1"/>
  <c r="E37" i="3" s="1" a="1"/>
  <c r="E37" i="3" s="1"/>
  <c r="F37" i="3" l="1"/>
  <c r="H37" i="3" s="1"/>
  <c r="J37" i="3" l="1"/>
  <c r="G37" i="3"/>
  <c r="I37" i="3"/>
  <c r="C38" i="3" s="1"/>
  <c r="B38" i="3" s="1"/>
  <c r="D38" i="3" s="1"/>
  <c r="E38" i="3" s="1" a="1"/>
  <c r="E38" i="3" s="1"/>
  <c r="F38" i="3" l="1"/>
  <c r="H38" i="3" s="1"/>
  <c r="J38" i="3" l="1"/>
  <c r="G38" i="3"/>
  <c r="I38" i="3"/>
  <c r="C39" i="3" s="1"/>
  <c r="B39" i="3" s="1"/>
  <c r="D39" i="3" s="1"/>
  <c r="E39" i="3" s="1" a="1"/>
  <c r="E39" i="3" s="1"/>
  <c r="F39" i="3" l="1"/>
  <c r="H39" i="3" s="1"/>
  <c r="J39" i="3" l="1"/>
  <c r="G39" i="3"/>
  <c r="I39" i="3"/>
  <c r="C40" i="3" s="1"/>
  <c r="B40" i="3" s="1"/>
  <c r="D40" i="3" s="1"/>
  <c r="E40" i="3" s="1" a="1"/>
  <c r="E40" i="3" s="1"/>
  <c r="F40" i="3" l="1"/>
  <c r="H40" i="3" s="1"/>
  <c r="J40" i="3" l="1"/>
  <c r="G40" i="3"/>
  <c r="I40" i="3"/>
  <c r="C41" i="3" s="1"/>
  <c r="B41" i="3" s="1"/>
  <c r="D41" i="3" s="1"/>
  <c r="E41" i="3" s="1" a="1"/>
  <c r="E41" i="3" s="1"/>
  <c r="F41" i="3" l="1"/>
  <c r="H41" i="3" s="1"/>
  <c r="J41" i="3" l="1"/>
  <c r="G41" i="3"/>
  <c r="I41" i="3"/>
  <c r="C42" i="3" s="1"/>
  <c r="B42" i="3" s="1"/>
  <c r="D42" i="3" s="1"/>
  <c r="E42" i="3" s="1" a="1"/>
  <c r="E42" i="3" s="1"/>
  <c r="F42" i="3" l="1"/>
  <c r="H42" i="3" s="1"/>
  <c r="J42" i="3" l="1"/>
  <c r="G42" i="3"/>
  <c r="I42" i="3"/>
  <c r="C43" i="3" s="1"/>
  <c r="B43" i="3" s="1"/>
  <c r="D43" i="3" s="1"/>
  <c r="E43" i="3" s="1" a="1"/>
  <c r="E43" i="3" s="1"/>
  <c r="F43" i="3" l="1"/>
  <c r="H43" i="3" s="1"/>
  <c r="J43" i="3" l="1"/>
  <c r="G43" i="3"/>
  <c r="I43" i="3"/>
  <c r="C44" i="3" s="1"/>
  <c r="B44" i="3" s="1"/>
  <c r="D44" i="3" s="1"/>
  <c r="E44" i="3" s="1" a="1"/>
  <c r="E44" i="3" s="1"/>
  <c r="F44" i="3" l="1"/>
  <c r="H44" i="3" s="1"/>
  <c r="J44" i="3" l="1"/>
  <c r="G44" i="3"/>
  <c r="I44" i="3"/>
  <c r="C45" i="3" s="1"/>
  <c r="B45" i="3" s="1"/>
  <c r="D45" i="3" s="1"/>
  <c r="E45" i="3" s="1" a="1"/>
  <c r="E45" i="3" s="1"/>
  <c r="F45" i="3" l="1"/>
  <c r="H45" i="3" s="1"/>
  <c r="J45" i="3" l="1"/>
  <c r="G45" i="3"/>
  <c r="I45" i="3" l="1"/>
  <c r="C46" i="3" s="1"/>
  <c r="B46" i="3" s="1"/>
  <c r="D46" i="3" s="1"/>
  <c r="E46" i="3" s="1" a="1"/>
  <c r="E46" i="3" s="1"/>
  <c r="F46" i="3" s="1"/>
  <c r="H46" i="3" s="1"/>
  <c r="J46" i="3" l="1"/>
  <c r="G46" i="3"/>
  <c r="I46" i="3"/>
  <c r="C47" i="3" s="1"/>
  <c r="B47" i="3" s="1"/>
  <c r="D47" i="3" s="1"/>
  <c r="E47" i="3" s="1" a="1"/>
  <c r="E47" i="3" s="1"/>
  <c r="F47" i="3" l="1"/>
  <c r="H47" i="3" s="1"/>
  <c r="J47" i="3" l="1"/>
  <c r="G47" i="3"/>
  <c r="I47" i="3"/>
  <c r="C48" i="3" s="1"/>
  <c r="B48" i="3" s="1"/>
  <c r="D48" i="3" s="1"/>
  <c r="E48" i="3" s="1" a="1"/>
  <c r="E48" i="3" s="1"/>
  <c r="F48" i="3" l="1"/>
  <c r="H48" i="3" s="1"/>
  <c r="J48" i="3" l="1"/>
  <c r="G48" i="3"/>
  <c r="I48" i="3"/>
  <c r="C49" i="3" s="1"/>
  <c r="B49" i="3" s="1"/>
  <c r="D49" i="3" s="1"/>
  <c r="E49" i="3" s="1" a="1"/>
  <c r="E49" i="3" s="1"/>
  <c r="F49" i="3" l="1"/>
  <c r="H49" i="3" s="1"/>
  <c r="J49" i="3" l="1"/>
  <c r="G49" i="3"/>
  <c r="I49" i="3"/>
  <c r="C50" i="3" s="1"/>
  <c r="B50" i="3" s="1"/>
  <c r="D50" i="3" s="1"/>
  <c r="E50" i="3" s="1" a="1"/>
  <c r="E50" i="3" s="1"/>
  <c r="F50" i="3" l="1"/>
  <c r="H50" i="3" s="1"/>
  <c r="J50" i="3" l="1"/>
  <c r="G50" i="3"/>
  <c r="I50" i="3"/>
  <c r="C51" i="3" s="1"/>
  <c r="B51" i="3" s="1"/>
  <c r="D51" i="3" s="1"/>
  <c r="E51" i="3" s="1" a="1"/>
  <c r="E51" i="3" s="1"/>
  <c r="F51" i="3" l="1"/>
  <c r="H51" i="3" s="1"/>
  <c r="J51" i="3" l="1"/>
  <c r="G51" i="3"/>
  <c r="I51" i="3"/>
  <c r="C52" i="3" s="1"/>
  <c r="B52" i="3" s="1"/>
  <c r="D52" i="3" s="1"/>
  <c r="E52" i="3" s="1" a="1"/>
  <c r="E52" i="3" s="1"/>
  <c r="F52" i="3" l="1"/>
  <c r="H52" i="3" s="1"/>
  <c r="J52" i="3" l="1"/>
  <c r="G52" i="3"/>
  <c r="I52" i="3"/>
  <c r="C53" i="3" s="1"/>
  <c r="B53" i="3" s="1"/>
  <c r="D53" i="3" s="1"/>
  <c r="E53" i="3" s="1" a="1"/>
  <c r="E53" i="3" s="1"/>
  <c r="F53" i="3" l="1"/>
  <c r="H53" i="3" s="1"/>
  <c r="J53" i="3" l="1"/>
  <c r="G53" i="3"/>
  <c r="I53" i="3" l="1"/>
  <c r="C54" i="3" s="1"/>
  <c r="B54" i="3" s="1"/>
  <c r="D54" i="3" s="1"/>
  <c r="E54" i="3" s="1" a="1"/>
  <c r="E54" i="3" s="1"/>
  <c r="F54" i="3" s="1"/>
  <c r="H54" i="3" s="1"/>
  <c r="J54" i="3" l="1"/>
  <c r="G54" i="3"/>
  <c r="I54" i="3"/>
  <c r="C55" i="3" s="1"/>
  <c r="B55" i="3" s="1"/>
  <c r="D55" i="3" s="1"/>
  <c r="E55" i="3" s="1" a="1"/>
  <c r="E55" i="3" s="1"/>
  <c r="F55" i="3" l="1"/>
  <c r="H55" i="3" s="1"/>
  <c r="J55" i="3" l="1"/>
  <c r="G55" i="3"/>
  <c r="I55" i="3"/>
  <c r="C56" i="3" s="1"/>
  <c r="B56" i="3" s="1"/>
  <c r="D56" i="3" s="1"/>
  <c r="E56" i="3" s="1" a="1"/>
  <c r="E56" i="3" s="1"/>
  <c r="F56" i="3" l="1"/>
  <c r="H56" i="3" s="1"/>
  <c r="J56" i="3" l="1"/>
  <c r="G56" i="3"/>
  <c r="I56" i="3"/>
  <c r="C57" i="3" s="1"/>
  <c r="B57" i="3" s="1"/>
  <c r="D57" i="3" s="1"/>
  <c r="E57" i="3" s="1" a="1"/>
  <c r="E57" i="3" s="1"/>
  <c r="F57" i="3" l="1"/>
  <c r="H57" i="3" s="1"/>
  <c r="J57" i="3" l="1"/>
  <c r="G57" i="3"/>
  <c r="I57" i="3"/>
  <c r="C58" i="3" s="1"/>
  <c r="B58" i="3" s="1"/>
  <c r="D58" i="3" s="1"/>
  <c r="E58" i="3" s="1" a="1"/>
  <c r="E58" i="3" s="1"/>
  <c r="F58" i="3" l="1"/>
  <c r="H58" i="3" s="1"/>
  <c r="J58" i="3" l="1"/>
  <c r="G58" i="3"/>
  <c r="I58" i="3"/>
  <c r="C59" i="3" s="1"/>
  <c r="B59" i="3" s="1"/>
  <c r="D59" i="3" s="1"/>
  <c r="E59" i="3" s="1" a="1"/>
  <c r="E59" i="3" s="1"/>
  <c r="F59" i="3" l="1"/>
  <c r="H59" i="3" s="1"/>
  <c r="J59" i="3" l="1"/>
  <c r="G59" i="3"/>
  <c r="I59" i="3"/>
  <c r="C60" i="3" s="1"/>
  <c r="B60" i="3" s="1"/>
  <c r="D60" i="3" s="1"/>
  <c r="E60" i="3" s="1" a="1"/>
  <c r="E60" i="3" s="1"/>
  <c r="F60" i="3" l="1"/>
  <c r="H60" i="3" s="1"/>
  <c r="J60" i="3" l="1"/>
  <c r="G60" i="3"/>
  <c r="I60" i="3"/>
  <c r="C61" i="3" s="1"/>
  <c r="B61" i="3" s="1"/>
  <c r="D61" i="3" s="1"/>
  <c r="E61" i="3" s="1" a="1"/>
  <c r="E61" i="3" s="1"/>
  <c r="F61" i="3" l="1"/>
  <c r="H61" i="3" s="1"/>
  <c r="J61" i="3" l="1"/>
  <c r="G61" i="3"/>
  <c r="I61" i="3"/>
  <c r="C62" i="3" s="1"/>
  <c r="B62" i="3" s="1"/>
  <c r="D62" i="3" s="1"/>
  <c r="E62" i="3" s="1" a="1"/>
  <c r="E62" i="3" s="1"/>
  <c r="F62" i="3" l="1"/>
  <c r="H62" i="3" s="1"/>
  <c r="J62" i="3" l="1"/>
  <c r="G62" i="3"/>
  <c r="I62" i="3"/>
  <c r="C63" i="3" s="1"/>
  <c r="B63" i="3" s="1"/>
  <c r="D63" i="3" s="1"/>
  <c r="E63" i="3" s="1" a="1"/>
  <c r="E63" i="3" s="1"/>
  <c r="F63" i="3" l="1"/>
  <c r="H63" i="3" s="1"/>
  <c r="J63" i="3" l="1"/>
  <c r="G63" i="3"/>
  <c r="I63" i="3"/>
  <c r="C64" i="3" s="1"/>
  <c r="B64" i="3" s="1"/>
  <c r="D64" i="3" s="1"/>
  <c r="E64" i="3" s="1" a="1"/>
  <c r="E64" i="3" s="1"/>
  <c r="F64" i="3" l="1"/>
  <c r="H64" i="3" s="1"/>
  <c r="J64" i="3" l="1"/>
  <c r="G64" i="3"/>
  <c r="I64" i="3"/>
  <c r="C65" i="3" s="1"/>
  <c r="B65" i="3" s="1"/>
  <c r="D65" i="3" s="1"/>
  <c r="E65" i="3" s="1" a="1"/>
  <c r="E65" i="3" s="1"/>
  <c r="F65" i="3" l="1"/>
  <c r="H65" i="3" s="1"/>
  <c r="J65" i="3" l="1"/>
  <c r="G65" i="3"/>
  <c r="I65" i="3"/>
  <c r="C66" i="3" s="1"/>
  <c r="B66" i="3" s="1"/>
  <c r="D66" i="3" s="1"/>
  <c r="E66" i="3" s="1" a="1"/>
  <c r="E66" i="3" s="1"/>
  <c r="F66" i="3" l="1"/>
  <c r="H66" i="3" s="1"/>
  <c r="J66" i="3" l="1"/>
  <c r="G66" i="3"/>
  <c r="I66" i="3"/>
  <c r="C67" i="3" s="1"/>
  <c r="B67" i="3" s="1"/>
  <c r="D67" i="3" s="1"/>
  <c r="E67" i="3" s="1" a="1"/>
  <c r="E67" i="3" s="1"/>
  <c r="F67" i="3" l="1"/>
  <c r="H67" i="3" s="1"/>
  <c r="J67" i="3" l="1"/>
  <c r="G67" i="3"/>
  <c r="I67" i="3"/>
  <c r="C68" i="3" s="1"/>
  <c r="B68" i="3" s="1"/>
  <c r="D68" i="3" s="1"/>
  <c r="E68" i="3" s="1" a="1"/>
  <c r="E68" i="3" s="1"/>
  <c r="F68" i="3" l="1"/>
  <c r="H68" i="3" s="1"/>
  <c r="J68" i="3" l="1"/>
  <c r="G68" i="3"/>
  <c r="I68" i="3"/>
  <c r="C69" i="3" s="1"/>
  <c r="B69" i="3" s="1"/>
  <c r="D69" i="3" s="1"/>
  <c r="E69" i="3" s="1" a="1"/>
  <c r="E69" i="3" s="1"/>
  <c r="F69" i="3" l="1"/>
  <c r="H69" i="3" s="1"/>
  <c r="J69" i="3" l="1"/>
  <c r="G69" i="3"/>
  <c r="I69" i="3"/>
  <c r="C70" i="3" s="1"/>
  <c r="B70" i="3" s="1"/>
  <c r="D70" i="3" s="1"/>
  <c r="E70" i="3" s="1" a="1"/>
  <c r="E70" i="3" s="1"/>
  <c r="F70" i="3" l="1"/>
  <c r="H70" i="3" s="1"/>
  <c r="J70" i="3" l="1"/>
  <c r="G70" i="3"/>
  <c r="I70" i="3"/>
  <c r="C71" i="3" s="1"/>
  <c r="B71" i="3" s="1"/>
  <c r="D71" i="3" s="1"/>
  <c r="E71" i="3" s="1" a="1"/>
  <c r="E71" i="3" s="1"/>
  <c r="F71" i="3" l="1"/>
  <c r="H71" i="3" s="1"/>
  <c r="J71" i="3" l="1"/>
  <c r="G71" i="3"/>
  <c r="I71" i="3"/>
  <c r="C72" i="3" s="1"/>
  <c r="B72" i="3" s="1"/>
  <c r="D72" i="3" s="1"/>
  <c r="E72" i="3" s="1" a="1"/>
  <c r="E72" i="3" s="1"/>
  <c r="F72" i="3" l="1"/>
  <c r="H72" i="3" s="1"/>
  <c r="J72" i="3" l="1"/>
  <c r="G72" i="3"/>
  <c r="I72" i="3"/>
  <c r="C73" i="3" s="1"/>
  <c r="B73" i="3" s="1"/>
  <c r="D73" i="3" s="1"/>
  <c r="E73" i="3" s="1" a="1"/>
  <c r="E73" i="3" s="1"/>
  <c r="F73" i="3" l="1"/>
  <c r="H73" i="3" s="1"/>
  <c r="J73" i="3" l="1"/>
  <c r="G73" i="3"/>
  <c r="I73" i="3"/>
  <c r="C74" i="3" s="1"/>
  <c r="B74" i="3" s="1"/>
  <c r="D74" i="3" s="1"/>
  <c r="E74" i="3" s="1" a="1"/>
  <c r="E74" i="3" s="1"/>
  <c r="F74" i="3" l="1"/>
  <c r="H74" i="3" s="1"/>
  <c r="J74" i="3" l="1"/>
  <c r="G74" i="3"/>
  <c r="I74" i="3" l="1"/>
  <c r="C75" i="3" s="1"/>
  <c r="B75" i="3" s="1"/>
  <c r="D75" i="3" s="1"/>
  <c r="E75" i="3" s="1" a="1"/>
  <c r="E75" i="3" s="1"/>
  <c r="F75" i="3" s="1"/>
  <c r="H75" i="3" s="1"/>
  <c r="J75" i="3" l="1"/>
  <c r="G75" i="3"/>
  <c r="I75" i="3"/>
  <c r="C76" i="3" s="1"/>
  <c r="B76" i="3" s="1"/>
  <c r="D76" i="3" s="1"/>
  <c r="E76" i="3" s="1" a="1"/>
  <c r="E76" i="3" s="1"/>
  <c r="F76" i="3" l="1"/>
  <c r="H76" i="3" s="1"/>
  <c r="J76" i="3" l="1"/>
  <c r="G76" i="3"/>
  <c r="I76" i="3"/>
  <c r="C77" i="3" s="1"/>
  <c r="B77" i="3" s="1"/>
  <c r="D77" i="3" s="1"/>
  <c r="E77" i="3" s="1" a="1"/>
  <c r="E77" i="3" s="1"/>
  <c r="F77" i="3" l="1"/>
  <c r="H77" i="3" s="1"/>
  <c r="J77" i="3" l="1"/>
  <c r="G77" i="3"/>
  <c r="I77" i="3"/>
  <c r="C78" i="3" s="1"/>
  <c r="B78" i="3" s="1"/>
  <c r="D78" i="3" s="1"/>
  <c r="E78" i="3" s="1" a="1"/>
  <c r="E78" i="3" s="1"/>
  <c r="F78" i="3" l="1"/>
  <c r="H78" i="3" s="1"/>
  <c r="J78" i="3" l="1"/>
  <c r="G78" i="3"/>
  <c r="I78" i="3" l="1"/>
  <c r="C79" i="3" s="1"/>
  <c r="B79" i="3" s="1"/>
  <c r="D79" i="3" s="1"/>
  <c r="E79" i="3" s="1" a="1"/>
  <c r="E79" i="3" s="1"/>
  <c r="F79" i="3" s="1"/>
  <c r="H79" i="3" s="1"/>
  <c r="J79" i="3" l="1"/>
  <c r="G79" i="3"/>
  <c r="I79" i="3"/>
  <c r="C80" i="3" s="1"/>
  <c r="B80" i="3" s="1"/>
  <c r="D80" i="3" s="1"/>
  <c r="E80" i="3" s="1" a="1"/>
  <c r="E80" i="3" s="1"/>
  <c r="F80" i="3" l="1"/>
  <c r="H80" i="3" s="1"/>
  <c r="J80" i="3" l="1"/>
  <c r="G80" i="3"/>
  <c r="I80" i="3"/>
  <c r="C81" i="3" s="1"/>
  <c r="B81" i="3" s="1"/>
  <c r="D81" i="3" s="1"/>
  <c r="E81" i="3" s="1" a="1"/>
  <c r="E81" i="3" s="1"/>
  <c r="F81" i="3" l="1"/>
  <c r="H81" i="3" s="1"/>
  <c r="J81" i="3" l="1"/>
  <c r="G81" i="3"/>
  <c r="I81" i="3" l="1"/>
  <c r="C82" i="3" s="1"/>
  <c r="B82" i="3" s="1"/>
  <c r="D82" i="3" s="1"/>
  <c r="E82" i="3" s="1" a="1"/>
  <c r="E82" i="3" s="1"/>
  <c r="F82" i="3" s="1"/>
  <c r="H82" i="3" s="1"/>
  <c r="J82" i="3" l="1"/>
  <c r="G82" i="3"/>
  <c r="I82" i="3"/>
  <c r="C83" i="3" s="1"/>
  <c r="B83" i="3" s="1"/>
  <c r="D83" i="3" s="1"/>
  <c r="E83" i="3" s="1" a="1"/>
  <c r="E83" i="3" s="1"/>
  <c r="F83" i="3" l="1"/>
  <c r="H83" i="3" s="1"/>
  <c r="J83" i="3" l="1"/>
  <c r="G83" i="3"/>
  <c r="I83" i="3"/>
  <c r="C84" i="3" s="1"/>
  <c r="B84" i="3" s="1"/>
  <c r="D84" i="3" s="1"/>
  <c r="E84" i="3" s="1" a="1"/>
  <c r="E84" i="3" s="1"/>
  <c r="F84" i="3" l="1"/>
  <c r="H84" i="3" s="1"/>
  <c r="J84" i="3" l="1"/>
  <c r="G84" i="3"/>
  <c r="I84" i="3"/>
  <c r="C85" i="3" s="1"/>
  <c r="B85" i="3" s="1"/>
  <c r="D85" i="3" s="1"/>
  <c r="E85" i="3" s="1" a="1"/>
  <c r="E85" i="3" s="1"/>
  <c r="F85" i="3" l="1"/>
  <c r="H85" i="3" s="1"/>
  <c r="J85" i="3" l="1"/>
  <c r="G85" i="3"/>
  <c r="I85" i="3"/>
  <c r="C86" i="3" s="1"/>
  <c r="B86" i="3" s="1"/>
  <c r="D86" i="3" s="1"/>
  <c r="E86" i="3" s="1" a="1"/>
  <c r="E86" i="3" s="1"/>
  <c r="F86" i="3" l="1"/>
  <c r="H86" i="3" s="1"/>
  <c r="J86" i="3" l="1"/>
  <c r="G86" i="3"/>
  <c r="I86" i="3"/>
  <c r="C87" i="3" s="1"/>
  <c r="B87" i="3" s="1"/>
  <c r="D87" i="3" s="1"/>
  <c r="E87" i="3" s="1" a="1"/>
  <c r="E87" i="3" s="1"/>
  <c r="F87" i="3" l="1"/>
  <c r="H87" i="3" s="1"/>
  <c r="J87" i="3" l="1"/>
  <c r="G87" i="3"/>
  <c r="I87" i="3" l="1"/>
  <c r="C88" i="3" s="1"/>
  <c r="B88" i="3" s="1"/>
  <c r="D88" i="3" s="1"/>
  <c r="E88" i="3" s="1" a="1"/>
  <c r="E88" i="3" s="1"/>
  <c r="F88" i="3" s="1"/>
  <c r="H88" i="3" s="1"/>
  <c r="J88" i="3" l="1"/>
  <c r="G88" i="3"/>
  <c r="I88" i="3"/>
  <c r="C89" i="3" s="1"/>
  <c r="B89" i="3" s="1"/>
  <c r="D89" i="3" s="1"/>
  <c r="E89" i="3" s="1" a="1"/>
  <c r="E89" i="3" s="1"/>
  <c r="F89" i="3" l="1"/>
  <c r="H89" i="3" s="1"/>
  <c r="J89" i="3" l="1"/>
  <c r="G89" i="3"/>
  <c r="I89" i="3"/>
  <c r="C90" i="3" s="1"/>
  <c r="B90" i="3" s="1"/>
  <c r="D90" i="3" s="1"/>
  <c r="E90" i="3" s="1" a="1"/>
  <c r="E90" i="3" s="1"/>
  <c r="F90" i="3" l="1"/>
  <c r="H90" i="3" s="1"/>
  <c r="J90" i="3" l="1"/>
  <c r="G90" i="3"/>
  <c r="I90" i="3"/>
  <c r="C91" i="3" s="1"/>
  <c r="B91" i="3" s="1"/>
  <c r="D91" i="3" s="1"/>
  <c r="E91" i="3" s="1" a="1"/>
  <c r="E91" i="3" s="1"/>
  <c r="F91" i="3" l="1"/>
  <c r="H91" i="3" s="1"/>
  <c r="J91" i="3" l="1"/>
  <c r="G91" i="3"/>
  <c r="I91" i="3"/>
  <c r="C92" i="3" s="1"/>
  <c r="B92" i="3" s="1"/>
  <c r="D92" i="3" s="1"/>
  <c r="E92" i="3" s="1" a="1"/>
  <c r="E92" i="3" s="1"/>
  <c r="F92" i="3" l="1"/>
  <c r="H92" i="3" s="1"/>
  <c r="J92" i="3" l="1"/>
  <c r="G92" i="3"/>
  <c r="I92" i="3"/>
  <c r="C93" i="3" s="1"/>
  <c r="B93" i="3" s="1"/>
  <c r="D93" i="3" s="1"/>
  <c r="E93" i="3" s="1" a="1"/>
  <c r="E93" i="3" s="1"/>
  <c r="F93" i="3" l="1"/>
  <c r="H93" i="3" s="1"/>
  <c r="J93" i="3" l="1"/>
  <c r="G93" i="3"/>
  <c r="I93" i="3"/>
  <c r="C94" i="3" s="1"/>
  <c r="B94" i="3" s="1"/>
  <c r="D94" i="3" s="1"/>
  <c r="E94" i="3" s="1" a="1"/>
  <c r="E94" i="3" s="1"/>
  <c r="F94" i="3" l="1"/>
  <c r="H94" i="3" s="1"/>
  <c r="J94" i="3" l="1"/>
  <c r="G94" i="3"/>
  <c r="I94" i="3"/>
  <c r="C95" i="3" s="1"/>
  <c r="B95" i="3" s="1"/>
  <c r="D95" i="3" s="1"/>
  <c r="E95" i="3" s="1" a="1"/>
  <c r="E95" i="3" s="1"/>
  <c r="F95" i="3" l="1"/>
  <c r="H95" i="3" s="1"/>
  <c r="J95" i="3" l="1"/>
  <c r="G95" i="3"/>
  <c r="I95" i="3"/>
  <c r="C96" i="3" s="1"/>
  <c r="B96" i="3" s="1"/>
  <c r="D96" i="3" s="1"/>
  <c r="E96" i="3" s="1" a="1"/>
  <c r="E96" i="3" s="1"/>
  <c r="F96" i="3" l="1"/>
  <c r="H96" i="3" s="1"/>
  <c r="J96" i="3" l="1"/>
  <c r="G96" i="3"/>
  <c r="I96" i="3"/>
  <c r="C97" i="3" s="1"/>
  <c r="B97" i="3" s="1"/>
  <c r="D97" i="3" s="1"/>
  <c r="E97" i="3" s="1" a="1"/>
  <c r="E97" i="3" s="1"/>
  <c r="F97" i="3" l="1"/>
  <c r="H97" i="3" s="1"/>
  <c r="J97" i="3" l="1"/>
  <c r="G97" i="3"/>
  <c r="I97" i="3"/>
  <c r="C98" i="3" s="1"/>
  <c r="B98" i="3" s="1"/>
  <c r="D98" i="3" s="1"/>
  <c r="E98" i="3" s="1" a="1"/>
  <c r="E98" i="3" s="1"/>
  <c r="F98" i="3" l="1"/>
  <c r="H98" i="3" s="1"/>
  <c r="J98" i="3" l="1"/>
  <c r="G98" i="3"/>
  <c r="I98" i="3"/>
  <c r="C99" i="3" s="1"/>
  <c r="B99" i="3" s="1"/>
  <c r="D99" i="3" s="1"/>
  <c r="E99" i="3" s="1" a="1"/>
  <c r="E99" i="3" s="1"/>
  <c r="F99" i="3" l="1"/>
  <c r="H99" i="3" s="1"/>
  <c r="J99" i="3" l="1"/>
  <c r="G99" i="3"/>
  <c r="I99" i="3"/>
  <c r="C100" i="3" s="1"/>
  <c r="B100" i="3" s="1"/>
  <c r="D100" i="3" s="1"/>
  <c r="E100" i="3" s="1" a="1"/>
  <c r="E100" i="3" s="1"/>
  <c r="F100" i="3" l="1"/>
  <c r="H100" i="3" s="1"/>
  <c r="J100" i="3" l="1"/>
  <c r="G100" i="3"/>
  <c r="I100" i="3"/>
  <c r="C101" i="3" s="1"/>
  <c r="B101" i="3" s="1"/>
  <c r="D101" i="3" s="1"/>
  <c r="E101" i="3" s="1" a="1"/>
  <c r="E101" i="3" s="1"/>
  <c r="F101" i="3" l="1"/>
  <c r="H101" i="3" s="1"/>
  <c r="J101" i="3" l="1"/>
  <c r="G101" i="3"/>
  <c r="I101" i="3"/>
  <c r="C102" i="3" s="1"/>
  <c r="B102" i="3" s="1"/>
  <c r="D102" i="3" s="1"/>
  <c r="E102" i="3" s="1" a="1"/>
  <c r="E102" i="3" s="1"/>
  <c r="F102" i="3" l="1"/>
  <c r="H102" i="3" s="1"/>
  <c r="J102" i="3" l="1"/>
  <c r="G102" i="3"/>
  <c r="I102" i="3"/>
  <c r="C103" i="3" s="1"/>
  <c r="B103" i="3" s="1"/>
  <c r="D103" i="3" s="1"/>
  <c r="E103" i="3" s="1" a="1"/>
  <c r="E103" i="3" s="1"/>
  <c r="F103" i="3" l="1"/>
  <c r="H103" i="3" s="1"/>
  <c r="J103" i="3" l="1"/>
  <c r="G103" i="3"/>
  <c r="I103" i="3"/>
  <c r="C104" i="3" s="1"/>
  <c r="B104" i="3" s="1"/>
  <c r="D104" i="3" s="1"/>
  <c r="E104" i="3" s="1" a="1"/>
  <c r="E104" i="3" s="1"/>
  <c r="F104" i="3" l="1"/>
  <c r="H104" i="3" s="1"/>
  <c r="J104" i="3" l="1"/>
  <c r="G104" i="3"/>
  <c r="I104" i="3"/>
  <c r="C105" i="3" s="1"/>
  <c r="B105" i="3" s="1"/>
  <c r="D105" i="3" s="1"/>
  <c r="E105" i="3" s="1" a="1"/>
  <c r="E105" i="3" s="1"/>
  <c r="F105" i="3" l="1"/>
  <c r="H105" i="3" s="1"/>
  <c r="J105" i="3" l="1"/>
  <c r="G105" i="3"/>
  <c r="I105" i="3"/>
  <c r="C106" i="3" s="1"/>
  <c r="B106" i="3" s="1"/>
  <c r="D106" i="3" s="1"/>
  <c r="E106" i="3" s="1" a="1"/>
  <c r="E106" i="3" s="1"/>
  <c r="F106" i="3" l="1"/>
  <c r="H106" i="3" s="1"/>
  <c r="J106" i="3" l="1"/>
  <c r="G106" i="3"/>
  <c r="I106" i="3"/>
  <c r="C107" i="3" s="1"/>
  <c r="B107" i="3" s="1"/>
  <c r="D107" i="3" s="1"/>
  <c r="E107" i="3" s="1" a="1"/>
  <c r="E107" i="3" s="1"/>
  <c r="F107" i="3" l="1"/>
  <c r="H107" i="3" s="1"/>
  <c r="J107" i="3" l="1"/>
  <c r="G107" i="3"/>
  <c r="I107" i="3"/>
  <c r="C108" i="3" s="1"/>
  <c r="B108" i="3" s="1"/>
  <c r="D108" i="3" s="1"/>
  <c r="E108" i="3" s="1" a="1"/>
  <c r="E108" i="3" s="1"/>
  <c r="F108" i="3" l="1"/>
  <c r="H108" i="3" s="1"/>
  <c r="J108" i="3" l="1"/>
  <c r="G108" i="3"/>
  <c r="I108" i="3"/>
  <c r="C109" i="3" s="1"/>
  <c r="B109" i="3" s="1"/>
  <c r="D109" i="3" s="1"/>
  <c r="E109" i="3" s="1" a="1"/>
  <c r="E109" i="3" s="1"/>
  <c r="F109" i="3" l="1"/>
  <c r="H109" i="3" s="1"/>
  <c r="J109" i="3" l="1"/>
  <c r="G109" i="3"/>
  <c r="I109" i="3"/>
  <c r="C110" i="3" s="1"/>
  <c r="B110" i="3" s="1"/>
  <c r="D110" i="3" s="1"/>
  <c r="E110" i="3" s="1" a="1"/>
  <c r="E110" i="3" s="1"/>
  <c r="F110" i="3" l="1"/>
  <c r="H110" i="3" s="1"/>
  <c r="J110" i="3" l="1"/>
  <c r="G110" i="3"/>
  <c r="I110" i="3"/>
  <c r="C111" i="3" s="1"/>
  <c r="B111" i="3" s="1"/>
  <c r="D111" i="3" s="1"/>
  <c r="E111" i="3" s="1" a="1"/>
  <c r="E111" i="3" s="1"/>
  <c r="F111" i="3" l="1"/>
  <c r="H111" i="3" s="1"/>
  <c r="J111" i="3" l="1"/>
  <c r="G111" i="3"/>
  <c r="I111" i="3"/>
  <c r="C112" i="3" s="1"/>
  <c r="B112" i="3" s="1"/>
  <c r="D112" i="3" s="1"/>
  <c r="E112" i="3" s="1" a="1"/>
  <c r="E112" i="3" s="1"/>
  <c r="F112" i="3" l="1"/>
  <c r="H112" i="3" s="1"/>
  <c r="J112" i="3" l="1"/>
  <c r="G112" i="3"/>
  <c r="I112" i="3"/>
  <c r="C113" i="3" s="1"/>
  <c r="B113" i="3" s="1"/>
  <c r="D113" i="3" s="1"/>
  <c r="E113" i="3" s="1" a="1"/>
  <c r="E113" i="3" s="1"/>
  <c r="F113" i="3" l="1"/>
  <c r="H113" i="3" s="1"/>
  <c r="J113" i="3" l="1"/>
  <c r="G113" i="3"/>
  <c r="I113" i="3"/>
  <c r="C114" i="3" s="1"/>
  <c r="B114" i="3" s="1"/>
  <c r="D114" i="3" s="1"/>
  <c r="E114" i="3" s="1" a="1"/>
  <c r="E114" i="3" s="1"/>
  <c r="F114" i="3" l="1"/>
  <c r="H114" i="3" s="1"/>
  <c r="J114" i="3" l="1"/>
  <c r="G114" i="3"/>
  <c r="I114" i="3"/>
  <c r="C115" i="3" s="1"/>
  <c r="B115" i="3" s="1"/>
  <c r="D115" i="3" s="1"/>
  <c r="E115" i="3" s="1" a="1"/>
  <c r="E115" i="3" s="1"/>
  <c r="F115" i="3" l="1"/>
  <c r="H115" i="3" s="1"/>
  <c r="J115" i="3" l="1"/>
  <c r="G115" i="3"/>
  <c r="I115" i="3"/>
  <c r="C116" i="3" s="1"/>
  <c r="B116" i="3" s="1"/>
  <c r="D116" i="3" s="1"/>
  <c r="E116" i="3" s="1" a="1"/>
  <c r="E116" i="3" s="1"/>
  <c r="F116" i="3" l="1"/>
  <c r="H116" i="3" s="1"/>
  <c r="J116" i="3" l="1"/>
  <c r="G116" i="3"/>
  <c r="I116" i="3"/>
  <c r="C117" i="3" s="1"/>
  <c r="B117" i="3" s="1"/>
  <c r="D117" i="3" s="1"/>
  <c r="E117" i="3" s="1" a="1"/>
  <c r="E117" i="3" s="1"/>
  <c r="F117" i="3" l="1"/>
  <c r="H117" i="3" s="1"/>
  <c r="J117" i="3" l="1"/>
  <c r="G117" i="3"/>
  <c r="I117" i="3"/>
  <c r="C118" i="3" s="1"/>
  <c r="B118" i="3" s="1"/>
  <c r="D118" i="3" s="1"/>
  <c r="E118" i="3" s="1" a="1"/>
  <c r="E118" i="3" s="1"/>
  <c r="F118" i="3" l="1"/>
  <c r="H118" i="3" s="1"/>
  <c r="J118" i="3" l="1"/>
  <c r="G118" i="3"/>
  <c r="I118" i="3"/>
  <c r="C119" i="3" s="1"/>
  <c r="B119" i="3" s="1"/>
  <c r="D119" i="3" s="1"/>
  <c r="E119" i="3" s="1" a="1"/>
  <c r="E119" i="3" s="1"/>
  <c r="F119" i="3" l="1"/>
  <c r="H119" i="3" s="1"/>
  <c r="J119" i="3" l="1"/>
  <c r="G119" i="3"/>
  <c r="I119" i="3"/>
  <c r="C120" i="3" s="1"/>
  <c r="B120" i="3" s="1"/>
  <c r="D120" i="3" s="1"/>
  <c r="E120" i="3" s="1" a="1"/>
  <c r="E120" i="3" s="1"/>
  <c r="F120" i="3" l="1"/>
  <c r="H120" i="3" s="1"/>
  <c r="J120" i="3" l="1"/>
  <c r="G120" i="3"/>
  <c r="I120" i="3"/>
  <c r="C121" i="3" s="1"/>
  <c r="B121" i="3" s="1"/>
  <c r="D121" i="3" s="1"/>
  <c r="E121" i="3" s="1" a="1"/>
  <c r="E121" i="3" s="1"/>
  <c r="F121" i="3" l="1"/>
  <c r="H121" i="3" s="1"/>
  <c r="J121" i="3" l="1"/>
  <c r="G121" i="3"/>
  <c r="I121" i="3"/>
  <c r="C122" i="3" s="1"/>
  <c r="B122" i="3" s="1"/>
  <c r="D122" i="3" s="1"/>
  <c r="E122" i="3" s="1" a="1"/>
  <c r="E122" i="3" s="1"/>
  <c r="F122" i="3" l="1"/>
  <c r="H122" i="3" s="1"/>
  <c r="J122" i="3" l="1"/>
  <c r="G122" i="3"/>
  <c r="I122" i="3"/>
  <c r="C123" i="3" s="1"/>
  <c r="B123" i="3" s="1"/>
  <c r="D123" i="3" s="1"/>
  <c r="E123" i="3" s="1" a="1"/>
  <c r="E123" i="3" s="1"/>
  <c r="F123" i="3" l="1"/>
  <c r="H123" i="3" s="1"/>
  <c r="J123" i="3" l="1"/>
  <c r="G123" i="3"/>
  <c r="I123" i="3"/>
  <c r="C124" i="3" s="1"/>
  <c r="B124" i="3" s="1"/>
  <c r="D124" i="3" s="1"/>
  <c r="E124" i="3" s="1" a="1"/>
  <c r="E124" i="3" s="1"/>
  <c r="F124" i="3" l="1"/>
  <c r="H124" i="3" s="1"/>
  <c r="J124" i="3" l="1"/>
  <c r="G124" i="3"/>
  <c r="I124" i="3" l="1"/>
  <c r="C125" i="3" s="1"/>
  <c r="B125" i="3" s="1"/>
  <c r="D125" i="3" s="1"/>
  <c r="E125" i="3" s="1" a="1"/>
  <c r="E125" i="3" s="1"/>
  <c r="F125" i="3" s="1"/>
  <c r="H125" i="3" s="1"/>
  <c r="J125" i="3" l="1"/>
  <c r="G125" i="3"/>
  <c r="I125" i="3"/>
  <c r="C126" i="3" s="1"/>
  <c r="B126" i="3" s="1"/>
  <c r="D126" i="3" s="1"/>
  <c r="E126" i="3" s="1" a="1"/>
  <c r="E126" i="3" s="1"/>
  <c r="F126" i="3" l="1"/>
  <c r="H126" i="3" s="1"/>
  <c r="J126" i="3" l="1"/>
  <c r="G126" i="3"/>
  <c r="I126" i="3"/>
  <c r="C127" i="3" s="1"/>
  <c r="B127" i="3" s="1"/>
  <c r="D127" i="3" s="1"/>
  <c r="E127" i="3" s="1" a="1"/>
  <c r="E127" i="3" s="1"/>
  <c r="F127" i="3" l="1"/>
  <c r="H127" i="3" s="1"/>
  <c r="J127" i="3" l="1"/>
  <c r="G127" i="3"/>
  <c r="I127" i="3"/>
  <c r="C128" i="3" s="1"/>
  <c r="B128" i="3" s="1"/>
  <c r="D128" i="3" s="1"/>
  <c r="E128" i="3" s="1" a="1"/>
  <c r="E128" i="3" s="1"/>
  <c r="F128" i="3" l="1"/>
  <c r="H128" i="3" s="1"/>
  <c r="J128" i="3" l="1"/>
  <c r="G128" i="3"/>
  <c r="I128" i="3"/>
  <c r="C129" i="3" s="1"/>
  <c r="B129" i="3" s="1"/>
  <c r="D129" i="3" s="1"/>
  <c r="E129" i="3" s="1" a="1"/>
  <c r="E129" i="3" s="1"/>
  <c r="F129" i="3" l="1"/>
  <c r="H129" i="3" s="1"/>
  <c r="J129" i="3" l="1"/>
  <c r="G129" i="3"/>
  <c r="I129" i="3"/>
  <c r="C130" i="3" s="1"/>
  <c r="B130" i="3" s="1"/>
  <c r="D130" i="3" s="1"/>
  <c r="E130" i="3" s="1" a="1"/>
  <c r="E130" i="3" s="1"/>
  <c r="F130" i="3" l="1"/>
  <c r="H130" i="3" s="1"/>
  <c r="J130" i="3" l="1"/>
  <c r="G130" i="3"/>
  <c r="I130" i="3"/>
  <c r="C131" i="3" s="1"/>
  <c r="B131" i="3" s="1"/>
  <c r="D131" i="3" s="1"/>
  <c r="E131" i="3" s="1" a="1"/>
  <c r="E131" i="3" s="1"/>
  <c r="F131" i="3" l="1"/>
  <c r="H131" i="3" s="1"/>
  <c r="J131" i="3" l="1"/>
  <c r="G131" i="3"/>
  <c r="I131" i="3"/>
  <c r="C132" i="3" s="1"/>
  <c r="B132" i="3" s="1"/>
  <c r="D132" i="3" s="1"/>
  <c r="E132" i="3" s="1" a="1"/>
  <c r="E132" i="3" s="1"/>
  <c r="F132" i="3" l="1"/>
  <c r="H132" i="3" s="1"/>
  <c r="J132" i="3" l="1"/>
  <c r="G132" i="3"/>
  <c r="I132" i="3"/>
  <c r="C133" i="3" s="1"/>
  <c r="B133" i="3" s="1"/>
  <c r="D133" i="3" s="1"/>
  <c r="E133" i="3" s="1" a="1"/>
  <c r="E133" i="3" s="1"/>
  <c r="F133" i="3" l="1"/>
  <c r="H133" i="3" s="1"/>
  <c r="J133" i="3" l="1"/>
  <c r="G133" i="3"/>
  <c r="I133" i="3"/>
  <c r="C134" i="3" s="1"/>
  <c r="B134" i="3" s="1"/>
  <c r="D134" i="3" s="1"/>
  <c r="E134" i="3" s="1" a="1"/>
  <c r="E134" i="3" s="1"/>
  <c r="F134" i="3" l="1"/>
  <c r="H134" i="3" s="1"/>
  <c r="J134" i="3" l="1"/>
  <c r="G134" i="3"/>
  <c r="I134" i="3"/>
  <c r="C135" i="3" s="1"/>
  <c r="B135" i="3" s="1"/>
  <c r="D135" i="3" s="1"/>
  <c r="E135" i="3" s="1" a="1"/>
  <c r="E135" i="3" s="1"/>
  <c r="F135" i="3" l="1"/>
  <c r="H135" i="3" s="1"/>
  <c r="J135" i="3" l="1"/>
  <c r="G135" i="3"/>
  <c r="I135" i="3"/>
  <c r="C136" i="3" s="1"/>
  <c r="B136" i="3" s="1"/>
  <c r="D136" i="3" s="1"/>
  <c r="E136" i="3" s="1" a="1"/>
  <c r="E136" i="3" s="1"/>
  <c r="F136" i="3" l="1"/>
  <c r="H136" i="3" s="1"/>
  <c r="J136" i="3" l="1"/>
  <c r="G136" i="3"/>
  <c r="I136" i="3"/>
  <c r="C137" i="3" s="1"/>
  <c r="B137" i="3" s="1"/>
  <c r="D137" i="3" s="1"/>
  <c r="E137" i="3" s="1" a="1"/>
  <c r="E137" i="3" s="1"/>
  <c r="F137" i="3" l="1"/>
  <c r="H137" i="3" s="1"/>
  <c r="J137" i="3" l="1"/>
  <c r="G137" i="3"/>
  <c r="I137" i="3"/>
  <c r="C138" i="3" s="1"/>
  <c r="B138" i="3" s="1"/>
  <c r="D138" i="3" s="1"/>
  <c r="E138" i="3" s="1" a="1"/>
  <c r="E138" i="3" s="1"/>
  <c r="F138" i="3" l="1"/>
  <c r="H138" i="3" s="1"/>
  <c r="J138" i="3" l="1"/>
  <c r="G138" i="3"/>
  <c r="I138" i="3"/>
  <c r="C139" i="3" s="1"/>
  <c r="B139" i="3" s="1"/>
  <c r="D139" i="3" s="1"/>
  <c r="E139" i="3" s="1" a="1"/>
  <c r="E139" i="3" s="1"/>
  <c r="F139" i="3" l="1"/>
  <c r="H139" i="3" s="1"/>
  <c r="J139" i="3" l="1"/>
  <c r="G139" i="3"/>
  <c r="I139" i="3"/>
  <c r="C140" i="3" s="1"/>
  <c r="B140" i="3" s="1"/>
  <c r="D140" i="3" s="1"/>
  <c r="E140" i="3" s="1" a="1"/>
  <c r="E140" i="3" s="1"/>
  <c r="F140" i="3" l="1"/>
  <c r="H140" i="3" s="1"/>
  <c r="J140" i="3" l="1"/>
  <c r="G140" i="3"/>
  <c r="I140" i="3"/>
  <c r="C141" i="3" s="1"/>
  <c r="B141" i="3" s="1"/>
  <c r="D141" i="3" s="1"/>
  <c r="E141" i="3" s="1" a="1"/>
  <c r="E141" i="3" s="1"/>
  <c r="F141" i="3" l="1"/>
  <c r="H141" i="3" s="1"/>
  <c r="J141" i="3" l="1"/>
  <c r="G141" i="3"/>
  <c r="I141" i="3"/>
  <c r="C142" i="3" s="1"/>
  <c r="B142" i="3" s="1"/>
  <c r="D142" i="3" s="1"/>
  <c r="E142" i="3" s="1" a="1"/>
  <c r="E142" i="3" s="1"/>
  <c r="F142" i="3" l="1"/>
  <c r="H142" i="3" s="1"/>
  <c r="J142" i="3" l="1"/>
  <c r="G142" i="3"/>
  <c r="I142" i="3"/>
  <c r="C143" i="3" s="1"/>
  <c r="B143" i="3" s="1"/>
  <c r="D143" i="3" s="1"/>
  <c r="E143" i="3" s="1" a="1"/>
  <c r="E143" i="3" s="1"/>
  <c r="F143" i="3" l="1"/>
  <c r="H143" i="3" s="1"/>
  <c r="J143" i="3" l="1"/>
  <c r="G143" i="3"/>
  <c r="I143" i="3" l="1"/>
  <c r="C144" i="3" s="1"/>
  <c r="B144" i="3" s="1"/>
  <c r="D144" i="3" s="1"/>
  <c r="E144" i="3" s="1" a="1"/>
  <c r="E144" i="3" s="1"/>
  <c r="F144" i="3" s="1"/>
  <c r="H144" i="3" s="1"/>
  <c r="J144" i="3" l="1"/>
  <c r="G144" i="3"/>
  <c r="I144" i="3"/>
  <c r="C145" i="3" s="1"/>
  <c r="B145" i="3" s="1"/>
  <c r="D145" i="3" s="1"/>
  <c r="E145" i="3" s="1" a="1"/>
  <c r="E145" i="3" s="1"/>
  <c r="F145" i="3" l="1"/>
  <c r="H145" i="3" s="1"/>
  <c r="J145" i="3" l="1"/>
  <c r="G145" i="3"/>
  <c r="I145" i="3"/>
  <c r="C146" i="3" s="1"/>
  <c r="B146" i="3" s="1"/>
  <c r="D146" i="3" s="1"/>
  <c r="E146" i="3" s="1" a="1"/>
  <c r="E146" i="3" s="1"/>
  <c r="F146" i="3" l="1"/>
  <c r="H146" i="3" s="1"/>
  <c r="J146" i="3" l="1"/>
  <c r="G146" i="3"/>
  <c r="I146" i="3"/>
  <c r="C147" i="3" s="1"/>
  <c r="B147" i="3" s="1"/>
  <c r="D147" i="3" s="1"/>
  <c r="E147" i="3" s="1" a="1"/>
  <c r="E147" i="3" s="1"/>
  <c r="F147" i="3" l="1"/>
  <c r="H147" i="3" s="1"/>
  <c r="J147" i="3" l="1"/>
  <c r="G147" i="3"/>
  <c r="I147" i="3"/>
  <c r="C148" i="3" s="1"/>
  <c r="B148" i="3" s="1"/>
  <c r="D148" i="3" s="1"/>
  <c r="E148" i="3" s="1" a="1"/>
  <c r="E148" i="3" s="1"/>
  <c r="F148" i="3" l="1"/>
  <c r="H148" i="3" s="1"/>
  <c r="J148" i="3" l="1"/>
  <c r="G148" i="3"/>
  <c r="I148" i="3"/>
  <c r="C149" i="3" s="1"/>
  <c r="B149" i="3" s="1"/>
  <c r="D149" i="3" s="1"/>
  <c r="E149" i="3" s="1" a="1"/>
  <c r="E149" i="3" s="1"/>
  <c r="F149" i="3" l="1"/>
  <c r="H149" i="3" s="1"/>
  <c r="J149" i="3" l="1"/>
  <c r="G149" i="3"/>
  <c r="I149" i="3"/>
  <c r="C150" i="3" s="1"/>
  <c r="B150" i="3" s="1"/>
  <c r="D150" i="3" s="1"/>
  <c r="E150" i="3" s="1" a="1"/>
  <c r="E150" i="3" s="1"/>
  <c r="F150" i="3" l="1"/>
  <c r="H150" i="3" s="1"/>
  <c r="J150" i="3" l="1"/>
  <c r="G150" i="3"/>
  <c r="I150" i="3"/>
  <c r="C151" i="3" s="1"/>
  <c r="B151" i="3" s="1"/>
  <c r="D151" i="3" s="1"/>
  <c r="E151" i="3" s="1" a="1"/>
  <c r="E151" i="3" s="1"/>
  <c r="F151" i="3" l="1"/>
  <c r="H151" i="3" s="1"/>
  <c r="J151" i="3" l="1"/>
  <c r="G151" i="3"/>
  <c r="I151" i="3"/>
  <c r="C152" i="3" s="1"/>
  <c r="B152" i="3" s="1"/>
  <c r="D152" i="3" s="1"/>
  <c r="E152" i="3" s="1" a="1"/>
  <c r="E152" i="3" s="1"/>
  <c r="F152" i="3" l="1"/>
  <c r="H152" i="3" s="1"/>
  <c r="J152" i="3" l="1"/>
  <c r="G152" i="3"/>
  <c r="I152" i="3"/>
  <c r="C153" i="3" s="1"/>
  <c r="B153" i="3" s="1"/>
  <c r="D153" i="3" s="1"/>
  <c r="E153" i="3" s="1" a="1"/>
  <c r="E153" i="3" s="1"/>
  <c r="F153" i="3" l="1"/>
  <c r="H153" i="3" s="1"/>
  <c r="J153" i="3" l="1"/>
  <c r="G153" i="3"/>
  <c r="I153" i="3"/>
  <c r="C154" i="3" s="1"/>
  <c r="B154" i="3" s="1"/>
  <c r="D154" i="3" s="1"/>
  <c r="E154" i="3" s="1" a="1"/>
  <c r="E154" i="3" s="1"/>
  <c r="F154" i="3" l="1"/>
  <c r="H154" i="3" s="1"/>
  <c r="J154" i="3" l="1"/>
  <c r="G154" i="3"/>
  <c r="I154" i="3"/>
  <c r="C155" i="3" s="1"/>
  <c r="B155" i="3" s="1"/>
  <c r="D155" i="3" s="1"/>
  <c r="E155" i="3" s="1" a="1"/>
  <c r="E155" i="3" s="1"/>
  <c r="F155" i="3" l="1"/>
  <c r="H155" i="3" s="1"/>
  <c r="J155" i="3" l="1"/>
  <c r="G155" i="3"/>
  <c r="I155" i="3"/>
  <c r="C156" i="3" s="1"/>
  <c r="B156" i="3" s="1"/>
  <c r="D156" i="3" s="1"/>
  <c r="E156" i="3" s="1" a="1"/>
  <c r="E156" i="3" s="1"/>
  <c r="F156" i="3" l="1"/>
  <c r="H156" i="3" s="1"/>
  <c r="J156" i="3" l="1"/>
  <c r="G156" i="3"/>
  <c r="I156" i="3"/>
  <c r="C157" i="3" s="1"/>
  <c r="B157" i="3" s="1"/>
  <c r="D157" i="3" s="1"/>
  <c r="E157" i="3" s="1" a="1"/>
  <c r="E157" i="3" s="1"/>
  <c r="F157" i="3" l="1"/>
  <c r="H157" i="3" s="1"/>
  <c r="J157" i="3" l="1"/>
  <c r="G157" i="3"/>
  <c r="I157" i="3"/>
  <c r="C158" i="3" s="1"/>
  <c r="B158" i="3" s="1"/>
  <c r="D158" i="3" s="1"/>
  <c r="E158" i="3" s="1" a="1"/>
  <c r="E158" i="3" s="1"/>
  <c r="F158" i="3" l="1"/>
  <c r="H158" i="3" s="1"/>
  <c r="J158" i="3" l="1"/>
  <c r="G158" i="3"/>
  <c r="I158" i="3"/>
  <c r="C159" i="3" s="1"/>
  <c r="B159" i="3" s="1"/>
  <c r="D159" i="3" s="1"/>
  <c r="E159" i="3" s="1" a="1"/>
  <c r="E159" i="3" s="1"/>
  <c r="F159" i="3" l="1"/>
  <c r="H159" i="3" s="1"/>
  <c r="J159" i="3" l="1"/>
  <c r="G159" i="3"/>
  <c r="I159" i="3"/>
  <c r="C160" i="3" s="1"/>
  <c r="B160" i="3" s="1"/>
  <c r="D160" i="3" s="1"/>
  <c r="E160" i="3" s="1" a="1"/>
  <c r="E160" i="3" s="1"/>
  <c r="F160" i="3" l="1"/>
  <c r="H160" i="3" s="1"/>
  <c r="J160" i="3" l="1"/>
  <c r="G160" i="3"/>
  <c r="I160" i="3"/>
  <c r="C161" i="3" s="1"/>
  <c r="B161" i="3" s="1"/>
  <c r="D161" i="3" s="1"/>
  <c r="E161" i="3" s="1" a="1"/>
  <c r="E161" i="3" s="1"/>
  <c r="F161" i="3" l="1"/>
  <c r="H161" i="3" s="1"/>
  <c r="J161" i="3" l="1"/>
  <c r="G161" i="3"/>
  <c r="I161" i="3"/>
  <c r="C162" i="3" s="1"/>
  <c r="B162" i="3" s="1"/>
  <c r="D162" i="3" s="1"/>
  <c r="E162" i="3" s="1" a="1"/>
  <c r="E162" i="3" s="1"/>
  <c r="F162" i="3" l="1"/>
  <c r="H162" i="3" s="1"/>
  <c r="J162" i="3" l="1"/>
  <c r="G162" i="3"/>
  <c r="I162" i="3"/>
  <c r="C163" i="3" s="1"/>
  <c r="B163" i="3" s="1"/>
  <c r="D163" i="3" s="1"/>
  <c r="E163" i="3" s="1" a="1"/>
  <c r="E163" i="3" s="1"/>
  <c r="F163" i="3" l="1"/>
  <c r="H163" i="3" s="1"/>
  <c r="J163" i="3" l="1"/>
  <c r="G163" i="3"/>
  <c r="I163" i="3"/>
  <c r="C164" i="3" s="1"/>
  <c r="B164" i="3" s="1"/>
  <c r="D164" i="3" s="1"/>
  <c r="E164" i="3" s="1" a="1"/>
  <c r="E164" i="3" s="1"/>
  <c r="F164" i="3" l="1"/>
  <c r="H164" i="3" s="1"/>
  <c r="J164" i="3" l="1"/>
  <c r="G164" i="3"/>
  <c r="I164" i="3"/>
  <c r="C165" i="3" s="1"/>
  <c r="B165" i="3" s="1"/>
  <c r="D165" i="3" s="1"/>
  <c r="E165" i="3" s="1" a="1"/>
  <c r="E165" i="3" s="1"/>
  <c r="F165" i="3" l="1"/>
  <c r="H165" i="3" s="1"/>
  <c r="J165" i="3" l="1"/>
  <c r="G165" i="3"/>
  <c r="I165" i="3"/>
  <c r="C166" i="3" s="1"/>
  <c r="B166" i="3" s="1"/>
  <c r="D166" i="3" s="1"/>
  <c r="E166" i="3" s="1" a="1"/>
  <c r="E166" i="3" s="1"/>
  <c r="F166" i="3" l="1"/>
  <c r="H166" i="3" s="1"/>
  <c r="J166" i="3" l="1"/>
  <c r="G166" i="3"/>
  <c r="I166" i="3"/>
  <c r="C167" i="3" s="1"/>
  <c r="B167" i="3" s="1"/>
  <c r="D167" i="3" s="1"/>
  <c r="E167" i="3" s="1" a="1"/>
  <c r="E167" i="3" s="1"/>
  <c r="F167" i="3" l="1"/>
  <c r="H167" i="3" s="1"/>
  <c r="J167" i="3" l="1"/>
  <c r="G167" i="3"/>
  <c r="I167" i="3"/>
  <c r="C168" i="3" s="1"/>
  <c r="B168" i="3" s="1"/>
  <c r="D168" i="3" s="1"/>
  <c r="E168" i="3" s="1" a="1"/>
  <c r="E168" i="3" s="1"/>
  <c r="F168" i="3" l="1"/>
  <c r="H168" i="3" s="1"/>
  <c r="J168" i="3" l="1"/>
  <c r="G168" i="3"/>
  <c r="I168" i="3"/>
  <c r="C169" i="3" s="1"/>
  <c r="B169" i="3" s="1"/>
  <c r="D169" i="3" s="1"/>
  <c r="E169" i="3" s="1" a="1"/>
  <c r="E169" i="3" s="1"/>
  <c r="F169" i="3" l="1"/>
  <c r="H169" i="3" s="1"/>
  <c r="J169" i="3" l="1"/>
  <c r="G169" i="3"/>
  <c r="I169" i="3" l="1"/>
  <c r="C170" i="3" s="1"/>
  <c r="B170" i="3" s="1"/>
  <c r="D170" i="3" s="1"/>
  <c r="E170" i="3" s="1" a="1"/>
  <c r="E170" i="3" s="1"/>
  <c r="F170" i="3" s="1"/>
  <c r="H170" i="3" s="1"/>
  <c r="J170" i="3" l="1"/>
  <c r="G170" i="3"/>
  <c r="I170" i="3" l="1"/>
  <c r="C171" i="3" s="1"/>
  <c r="B171" i="3" s="1"/>
  <c r="D171" i="3" s="1"/>
  <c r="E171" i="3" s="1" a="1"/>
  <c r="E171" i="3" s="1"/>
  <c r="F171" i="3" s="1"/>
  <c r="H171" i="3" s="1"/>
  <c r="J171" i="3" l="1"/>
  <c r="G171" i="3"/>
  <c r="I171" i="3"/>
  <c r="C172" i="3" s="1"/>
  <c r="B172" i="3" s="1"/>
  <c r="D172" i="3" s="1"/>
  <c r="E172" i="3" s="1" a="1"/>
  <c r="E172" i="3" s="1"/>
  <c r="F172" i="3" l="1"/>
  <c r="H172" i="3" s="1"/>
  <c r="J172" i="3" l="1"/>
  <c r="G172" i="3"/>
  <c r="I172" i="3"/>
  <c r="C173" i="3" s="1"/>
  <c r="B173" i="3" s="1"/>
  <c r="D173" i="3" s="1"/>
  <c r="E173" i="3" s="1" a="1"/>
  <c r="E173" i="3" s="1"/>
  <c r="F173" i="3" l="1"/>
  <c r="H173" i="3" s="1"/>
  <c r="J173" i="3" l="1"/>
  <c r="G173" i="3"/>
  <c r="I173" i="3"/>
  <c r="C174" i="3" s="1"/>
  <c r="B174" i="3" s="1"/>
  <c r="D174" i="3" s="1"/>
  <c r="E174" i="3" s="1" a="1"/>
  <c r="E174" i="3" s="1"/>
  <c r="F174" i="3" l="1"/>
  <c r="H174" i="3" s="1"/>
  <c r="J174" i="3" l="1"/>
  <c r="G174" i="3"/>
  <c r="I174" i="3"/>
  <c r="C175" i="3" s="1"/>
  <c r="B175" i="3" s="1"/>
  <c r="D175" i="3" s="1"/>
  <c r="E175" i="3" s="1" a="1"/>
  <c r="E175" i="3" s="1"/>
  <c r="F175" i="3" l="1"/>
  <c r="H175" i="3" s="1"/>
  <c r="J175" i="3" l="1"/>
  <c r="G175" i="3"/>
  <c r="I175" i="3"/>
  <c r="C176" i="3" s="1"/>
  <c r="B176" i="3" s="1"/>
  <c r="D176" i="3" s="1"/>
  <c r="E176" i="3" s="1" a="1"/>
  <c r="E176" i="3" s="1"/>
  <c r="F176" i="3" l="1"/>
  <c r="H176" i="3" s="1"/>
  <c r="J176" i="3" l="1"/>
  <c r="G176" i="3"/>
  <c r="I176" i="3"/>
  <c r="C177" i="3" s="1"/>
  <c r="B177" i="3" s="1"/>
  <c r="D177" i="3" s="1"/>
  <c r="E177" i="3" s="1" a="1"/>
  <c r="E177" i="3" s="1"/>
  <c r="F177" i="3" l="1"/>
  <c r="H177" i="3" s="1"/>
  <c r="J177" i="3" l="1"/>
  <c r="G177" i="3"/>
  <c r="I177" i="3" l="1"/>
  <c r="C178" i="3" s="1"/>
  <c r="B178" i="3" s="1"/>
  <c r="D178" i="3" s="1"/>
  <c r="E178" i="3" s="1" a="1"/>
  <c r="E178" i="3" s="1"/>
  <c r="F178" i="3" s="1"/>
  <c r="H178" i="3" s="1"/>
  <c r="J178" i="3" l="1"/>
  <c r="G178" i="3"/>
  <c r="I178" i="3"/>
  <c r="C179" i="3" s="1"/>
  <c r="B179" i="3" s="1"/>
  <c r="D179" i="3" s="1"/>
  <c r="E179" i="3" s="1" a="1"/>
  <c r="E179" i="3" s="1"/>
  <c r="F179" i="3" l="1"/>
  <c r="H179" i="3" s="1"/>
  <c r="J179" i="3" l="1"/>
  <c r="G179" i="3"/>
  <c r="I179" i="3"/>
  <c r="C180" i="3" s="1"/>
  <c r="B180" i="3" s="1"/>
  <c r="D180" i="3" s="1"/>
  <c r="E180" i="3" s="1" a="1"/>
  <c r="E180" i="3" s="1"/>
  <c r="F180" i="3" l="1"/>
  <c r="H180" i="3" s="1"/>
  <c r="J180" i="3" l="1"/>
  <c r="G180" i="3"/>
  <c r="I180" i="3"/>
  <c r="C181" i="3" s="1"/>
  <c r="B181" i="3" s="1"/>
  <c r="D181" i="3" s="1"/>
  <c r="E181" i="3" s="1" a="1"/>
  <c r="E181" i="3" s="1"/>
  <c r="F181" i="3" l="1"/>
  <c r="H181" i="3" s="1"/>
  <c r="J181" i="3" l="1"/>
  <c r="G181" i="3"/>
  <c r="I181" i="3"/>
  <c r="C182" i="3" s="1"/>
  <c r="B182" i="3" s="1"/>
  <c r="D182" i="3" s="1"/>
  <c r="E182" i="3" s="1" a="1"/>
  <c r="E182" i="3" s="1"/>
  <c r="F182" i="3" l="1"/>
  <c r="H182" i="3" s="1"/>
  <c r="J182" i="3" l="1"/>
  <c r="G182" i="3"/>
  <c r="I182" i="3"/>
  <c r="C183" i="3" s="1"/>
  <c r="B183" i="3" s="1"/>
  <c r="D183" i="3" s="1"/>
  <c r="E183" i="3" s="1" a="1"/>
  <c r="E183" i="3" s="1"/>
  <c r="F183" i="3" l="1"/>
  <c r="H183" i="3" s="1"/>
  <c r="J183" i="3" l="1"/>
  <c r="G183" i="3"/>
  <c r="I18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<sst xmlns="http://schemas.openxmlformats.org/spreadsheetml/2006/main" count="180" uniqueCount="100">
  <si>
    <t>Capacity</t>
  </si>
  <si>
    <t>Voltage</t>
  </si>
  <si>
    <t>Current (0.)</t>
  </si>
  <si>
    <t>Current(all digits)</t>
  </si>
  <si>
    <t>No display</t>
  </si>
  <si>
    <t>Low batt</t>
  </si>
  <si>
    <t>Time</t>
  </si>
  <si>
    <t>Battery Capacity</t>
  </si>
  <si>
    <t>%</t>
  </si>
  <si>
    <t>mAh</t>
  </si>
  <si>
    <t>h</t>
  </si>
  <si>
    <t>Load current</t>
  </si>
  <si>
    <t>Battery Voltage</t>
  </si>
  <si>
    <t>V</t>
  </si>
  <si>
    <t>Discharge</t>
  </si>
  <si>
    <t>BatRow</t>
  </si>
  <si>
    <t>Regulated Voltage</t>
  </si>
  <si>
    <t>mA</t>
  </si>
  <si>
    <t>Loadrow</t>
  </si>
  <si>
    <t>Consumption</t>
  </si>
  <si>
    <t>Vreg</t>
  </si>
  <si>
    <t>Vdo</t>
  </si>
  <si>
    <t>T(0.)</t>
  </si>
  <si>
    <t>kOhm</t>
  </si>
  <si>
    <t>Vdiode</t>
  </si>
  <si>
    <t>Efficiency</t>
  </si>
  <si>
    <t>Charge (ideal)</t>
  </si>
  <si>
    <t>Rprog (ideal)</t>
  </si>
  <si>
    <t>Rprog (close)</t>
  </si>
  <si>
    <t>Charge (real)</t>
  </si>
  <si>
    <t>Itarget HP</t>
  </si>
  <si>
    <t>Rprog (HP, ideal)</t>
  </si>
  <si>
    <t>Rprog2(HP,ideal)</t>
  </si>
  <si>
    <t>Rprog2(HP,close)</t>
  </si>
  <si>
    <t>Rprog(HP,real)</t>
  </si>
  <si>
    <t>Icharge HP</t>
  </si>
  <si>
    <t>Vref</t>
  </si>
  <si>
    <t>R4</t>
  </si>
  <si>
    <t>R5</t>
  </si>
  <si>
    <t>Vout</t>
  </si>
  <si>
    <t>Pd</t>
  </si>
  <si>
    <t>W</t>
  </si>
  <si>
    <t>Iout</t>
  </si>
  <si>
    <t>A</t>
  </si>
  <si>
    <t>Vin(max)</t>
  </si>
  <si>
    <t>Component</t>
  </si>
  <si>
    <t>Iq</t>
  </si>
  <si>
    <t>datasheet</t>
  </si>
  <si>
    <t>calc</t>
  </si>
  <si>
    <t>MAX40203</t>
  </si>
  <si>
    <t>With reg</t>
  </si>
  <si>
    <t>No reg</t>
  </si>
  <si>
    <t>Noreg</t>
  </si>
  <si>
    <t>T(off)</t>
  </si>
  <si>
    <t>Parameter</t>
  </si>
  <si>
    <t>Value</t>
  </si>
  <si>
    <t>Unit</t>
  </si>
  <si>
    <t>R1</t>
  </si>
  <si>
    <t>R8</t>
  </si>
  <si>
    <t>KISET(HC,min)</t>
  </si>
  <si>
    <t>KISET(HC,max)</t>
  </si>
  <si>
    <t>KISET(LC,min)</t>
  </si>
  <si>
    <t>KISET(LC,max)</t>
  </si>
  <si>
    <t>A*Ohm</t>
  </si>
  <si>
    <t>Imax</t>
  </si>
  <si>
    <t>Imin</t>
  </si>
  <si>
    <t>Inom</t>
  </si>
  <si>
    <t>Ifb</t>
  </si>
  <si>
    <t>Idiv</t>
  </si>
  <si>
    <t>uA</t>
  </si>
  <si>
    <t>IR4</t>
  </si>
  <si>
    <t>IR5</t>
  </si>
  <si>
    <t>VR4</t>
  </si>
  <si>
    <t>D1</t>
  </si>
  <si>
    <t>PROG circuit</t>
  </si>
  <si>
    <t>V_ISET = 0</t>
  </si>
  <si>
    <t>BQ21040</t>
  </si>
  <si>
    <t>TLV75801</t>
  </si>
  <si>
    <t>regulator FB</t>
  </si>
  <si>
    <t>TPS3808</t>
  </si>
  <si>
    <t>Battery capacity</t>
  </si>
  <si>
    <t>hours</t>
  </si>
  <si>
    <t>Time (reg)</t>
  </si>
  <si>
    <t>days</t>
  </si>
  <si>
    <t>years</t>
  </si>
  <si>
    <t>Time (no reg)</t>
  </si>
  <si>
    <t>datasheet (shutdown)</t>
  </si>
  <si>
    <t>D2</t>
  </si>
  <si>
    <t>Source/notes</t>
  </si>
  <si>
    <t>PMEG40T10ERX datasheet Ir (to ground via R9).</t>
  </si>
  <si>
    <t>datasheet (5.6V zener at 3.8V)</t>
  </si>
  <si>
    <t>LiPo self-discharge rate</t>
  </si>
  <si>
    <t>/month</t>
  </si>
  <si>
    <t>Month</t>
  </si>
  <si>
    <t>Self discharge</t>
  </si>
  <si>
    <t>Hours per month</t>
  </si>
  <si>
    <t>q discharge</t>
  </si>
  <si>
    <t>REGULATED</t>
  </si>
  <si>
    <t>NO REG</t>
  </si>
  <si>
    <t>total disch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</si>
</sst>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Battery!$C$1</c:f>
              <c:strCache>
                <c:ptCount val="1"/>
                <c:pt idx="0">
                  <c:v>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Battery!$B$2:$B$41</c:f>
              <c:numCache>
                <c:formatCode>General</c:formatCode>
                <c:ptCount val="40"/>
                <c:pt idx="0">
                  <c:v>100</c:v>
                </c:pt>
                <c:pt idx="1">
                  <c:v>99.9</c:v>
                </c:pt>
                <c:pt idx="2">
                  <c:v>99.636363626275184</c:v>
                </c:pt>
                <c:pt idx="3">
                  <c:v>98.909090878825538</c:v>
                </c:pt>
                <c:pt idx="4">
                  <c:v>98.036363027020911</c:v>
                </c:pt>
                <c:pt idx="5">
                  <c:v>97.309090279571265</c:v>
                </c:pt>
                <c:pt idx="6">
                  <c:v>96.363636262751811</c:v>
                </c:pt>
                <c:pt idx="7">
                  <c:v>94.763635663497524</c:v>
                </c:pt>
                <c:pt idx="8">
                  <c:v>90.763635552524519</c:v>
                </c:pt>
                <c:pt idx="9">
                  <c:v>87.345455858971505</c:v>
                </c:pt>
                <c:pt idx="10">
                  <c:v>83.709092121723401</c:v>
                </c:pt>
                <c:pt idx="11">
                  <c:v>79.999996670809594</c:v>
                </c:pt>
                <c:pt idx="12">
                  <c:v>75.636360186111801</c:v>
                </c:pt>
                <c:pt idx="13">
                  <c:v>71.345455415079499</c:v>
                </c:pt>
                <c:pt idx="14">
                  <c:v>66.545450842991301</c:v>
                </c:pt>
                <c:pt idx="15">
                  <c:v>61.309089280814199</c:v>
                </c:pt>
                <c:pt idx="16">
                  <c:v>55.636359631246698</c:v>
                </c:pt>
                <c:pt idx="17">
                  <c:v>50.254545739039997</c:v>
                </c:pt>
                <c:pt idx="18">
                  <c:v>43.709085463342497</c:v>
                </c:pt>
                <c:pt idx="19">
                  <c:v>36.799994362570899</c:v>
                </c:pt>
                <c:pt idx="20">
                  <c:v>31.345448756698602</c:v>
                </c:pt>
                <c:pt idx="21">
                  <c:v>26.036355480855903</c:v>
                </c:pt>
                <c:pt idx="22">
                  <c:v>20.945446248708507</c:v>
                </c:pt>
                <c:pt idx="23">
                  <c:v>16.727273191341695</c:v>
                </c:pt>
                <c:pt idx="24">
                  <c:v>14.036355147936902</c:v>
                </c:pt>
                <c:pt idx="25">
                  <c:v>11.490900531863204</c:v>
                </c:pt>
                <c:pt idx="26">
                  <c:v>11.490900531863204</c:v>
                </c:pt>
                <c:pt idx="27">
                  <c:v>9.0909093431205008</c:v>
                </c:pt>
                <c:pt idx="28">
                  <c:v>6.9818117171356988</c:v>
                </c:pt>
                <c:pt idx="29">
                  <c:v>5.818181979597199</c:v>
                </c:pt>
                <c:pt idx="30">
                  <c:v>4.5818094310915995</c:v>
                </c:pt>
                <c:pt idx="31">
                  <c:v>3.6363637372482032</c:v>
                </c:pt>
                <c:pt idx="32">
                  <c:v>2.7636275624675051</c:v>
                </c:pt>
                <c:pt idx="33">
                  <c:v>2.1818182423489958</c:v>
                </c:pt>
                <c:pt idx="34">
                  <c:v>1.5499999999999972</c:v>
                </c:pt>
                <c:pt idx="35">
                  <c:v>0.94544569384339638</c:v>
                </c:pt>
                <c:pt idx="36">
                  <c:v>0.58180932011859454</c:v>
                </c:pt>
                <c:pt idx="37">
                  <c:v>0.21817294639380691</c:v>
                </c:pt>
                <c:pt idx="38">
                  <c:v>0</c:v>
                </c:pt>
                <c:pt idx="39">
                  <c:v>-9.9999999999994316E-2</c:v>
                </c:pt>
              </c:numCache>
            </c:numRef>
          </c:xVal>
          <c:yVal>
            <c:numRef>
              <c:f>Battery!$C$2:$C$41</c:f>
              <c:numCache>
                <c:formatCode>General</c:formatCode>
                <c:ptCount val="40"/>
                <c:pt idx="0">
                  <c:v>4.2</c:v>
                </c:pt>
                <c:pt idx="1">
                  <c:v>4.1900000000000004</c:v>
                </c:pt>
                <c:pt idx="2">
                  <c:v>4.1577653828300001</c:v>
                </c:pt>
                <c:pt idx="3">
                  <c:v>4.1389943623039001</c:v>
                </c:pt>
                <c:pt idx="4">
                  <c:v>4.1233519048700602</c:v>
                </c:pt>
                <c:pt idx="5">
                  <c:v>4.1155306761531403</c:v>
                </c:pt>
                <c:pt idx="6">
                  <c:v>4.1030167818115499</c:v>
                </c:pt>
                <c:pt idx="7">
                  <c:v>4.0842457612854597</c:v>
                </c:pt>
                <c:pt idx="8">
                  <c:v>4.0420112037867</c:v>
                </c:pt>
                <c:pt idx="9">
                  <c:v>4.0107262889190203</c:v>
                </c:pt>
                <c:pt idx="10">
                  <c:v>3.9747485890841898</c:v>
                </c:pt>
                <c:pt idx="11">
                  <c:v>3.9434636742165101</c:v>
                </c:pt>
                <c:pt idx="12">
                  <c:v>3.91217875934883</c:v>
                </c:pt>
                <c:pt idx="13">
                  <c:v>3.8762011191852399</c:v>
                </c:pt>
                <c:pt idx="14">
                  <c:v>3.8464804858636898</c:v>
                </c:pt>
                <c:pt idx="15">
                  <c:v>3.8183240147457802</c:v>
                </c:pt>
                <c:pt idx="16">
                  <c:v>3.7917318848452402</c:v>
                </c:pt>
                <c:pt idx="17">
                  <c:v>3.7713966424442602</c:v>
                </c:pt>
                <c:pt idx="18">
                  <c:v>3.75106145971451</c:v>
                </c:pt>
                <c:pt idx="19">
                  <c:v>3.7354190022806701</c:v>
                </c:pt>
                <c:pt idx="20">
                  <c:v>3.7213408263929599</c:v>
                </c:pt>
                <c:pt idx="21">
                  <c:v>3.70413408741299</c:v>
                </c:pt>
                <c:pt idx="22">
                  <c:v>3.6806704012622302</c:v>
                </c:pt>
                <c:pt idx="23">
                  <c:v>3.6540782116904502</c:v>
                </c:pt>
                <c:pt idx="24">
                  <c:v>3.63061452553969</c:v>
                </c:pt>
                <c:pt idx="25">
                  <c:v>3.6071508393889302</c:v>
                </c:pt>
                <c:pt idx="26">
                  <c:v>3.6071508393889302</c:v>
                </c:pt>
                <c:pt idx="27">
                  <c:v>3.57586598419249</c:v>
                </c:pt>
                <c:pt idx="28">
                  <c:v>3.5367598406078899</c:v>
                </c:pt>
                <c:pt idx="29">
                  <c:v>3.5023463626479501</c:v>
                </c:pt>
                <c:pt idx="30">
                  <c:v>3.4554189903464199</c:v>
                </c:pt>
                <c:pt idx="31">
                  <c:v>3.4037989524202401</c:v>
                </c:pt>
                <c:pt idx="32">
                  <c:v>3.34905035140179</c:v>
                </c:pt>
                <c:pt idx="33">
                  <c:v>3.29899441600802</c:v>
                </c:pt>
                <c:pt idx="34">
                  <c:v>3.2395531493649101</c:v>
                </c:pt>
                <c:pt idx="35">
                  <c:v>3.1801117633793199</c:v>
                </c:pt>
                <c:pt idx="36">
                  <c:v>3.1222347186111001</c:v>
                </c:pt>
                <c:pt idx="37">
                  <c:v>3.0643575545004</c:v>
                </c:pt>
                <c:pt idx="38">
                  <c:v>3</c:v>
                </c:pt>
                <c:pt idx="39">
                  <c:v>2.99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4A-4F20-A79C-D5B909119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684208"/>
        <c:axId val="1936410480"/>
      </c:scatterChart>
      <c:valAx>
        <c:axId val="61868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410480"/>
        <c:crosses val="autoZero"/>
        <c:crossBetween val="midCat"/>
      </c:valAx>
      <c:valAx>
        <c:axId val="1936410480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68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Load!$G$1</c:f>
              <c:strCache>
                <c:ptCount val="1"/>
                <c:pt idx="0">
                  <c:v>Current(all digits)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8403324584426947E-3"/>
                  <c:y val="0.138311825605132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Load!$F$2:$F$10</c:f>
              <c:numCache>
                <c:formatCode>General</c:formatCode>
                <c:ptCount val="9"/>
                <c:pt idx="0">
                  <c:v>3.51</c:v>
                </c:pt>
                <c:pt idx="1">
                  <c:v>3.56</c:v>
                </c:pt>
                <c:pt idx="2">
                  <c:v>3.66</c:v>
                </c:pt>
                <c:pt idx="3">
                  <c:v>3.76</c:v>
                </c:pt>
                <c:pt idx="4">
                  <c:v>3.85</c:v>
                </c:pt>
                <c:pt idx="5">
                  <c:v>3.95</c:v>
                </c:pt>
                <c:pt idx="6">
                  <c:v>4.04</c:v>
                </c:pt>
                <c:pt idx="7">
                  <c:v>4.1399999999999997</c:v>
                </c:pt>
                <c:pt idx="8">
                  <c:v>4.21</c:v>
                </c:pt>
              </c:numCache>
            </c:numRef>
          </c:xVal>
          <c:yVal>
            <c:numRef>
              <c:f>Load!$G$2:$G$10</c:f>
              <c:numCache>
                <c:formatCode>General</c:formatCode>
                <c:ptCount val="9"/>
                <c:pt idx="0">
                  <c:v>117.8</c:v>
                </c:pt>
                <c:pt idx="1">
                  <c:v>119.8</c:v>
                </c:pt>
                <c:pt idx="2">
                  <c:v>123.3</c:v>
                </c:pt>
                <c:pt idx="3">
                  <c:v>126.6</c:v>
                </c:pt>
                <c:pt idx="4">
                  <c:v>130</c:v>
                </c:pt>
                <c:pt idx="5">
                  <c:v>133.4</c:v>
                </c:pt>
                <c:pt idx="6">
                  <c:v>136.69999999999999</c:v>
                </c:pt>
                <c:pt idx="7">
                  <c:v>140.1</c:v>
                </c:pt>
                <c:pt idx="8">
                  <c:v>142.30000000000001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71-4500-A2F3-F771A73A9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69872"/>
        <c:axId val="27867552"/>
      </c:scatterChart>
      <c:valAx>
        <c:axId val="2656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67552"/>
        <c:crosses val="autoZero"/>
        <c:crossBetween val="midCat"/>
      </c:valAx>
      <c:valAx>
        <c:axId val="2786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69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Load!$B$1</c:f>
              <c:strCache>
                <c:ptCount val="1"/>
                <c:pt idx="0">
                  <c:v>Current (0.)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Load!$A$2:$A$14</c:f>
              <c:numCache>
                <c:formatCode>General</c:formatCode>
                <c:ptCount val="13"/>
                <c:pt idx="0">
                  <c:v>4.29</c:v>
                </c:pt>
                <c:pt idx="1">
                  <c:v>4.1900000000000004</c:v>
                </c:pt>
                <c:pt idx="2">
                  <c:v>4.09</c:v>
                </c:pt>
                <c:pt idx="3">
                  <c:v>3.99</c:v>
                </c:pt>
                <c:pt idx="4">
                  <c:v>3.9</c:v>
                </c:pt>
                <c:pt idx="5">
                  <c:v>3.8</c:v>
                </c:pt>
                <c:pt idx="6">
                  <c:v>3.7</c:v>
                </c:pt>
                <c:pt idx="7">
                  <c:v>3.6</c:v>
                </c:pt>
                <c:pt idx="8">
                  <c:v>3.51</c:v>
                </c:pt>
                <c:pt idx="9">
                  <c:v>3.46</c:v>
                </c:pt>
                <c:pt idx="10">
                  <c:v>3.41</c:v>
                </c:pt>
                <c:pt idx="11">
                  <c:v>3.31</c:v>
                </c:pt>
                <c:pt idx="12">
                  <c:v>3.22</c:v>
                </c:pt>
              </c:numCache>
            </c:numRef>
          </c:xVal>
          <c:yVal>
            <c:numRef>
              <c:f>Load!$B$2:$B$14</c:f>
              <c:numCache>
                <c:formatCode>General</c:formatCode>
                <c:ptCount val="13"/>
                <c:pt idx="0">
                  <c:v>102.3</c:v>
                </c:pt>
                <c:pt idx="1">
                  <c:v>100.3</c:v>
                </c:pt>
                <c:pt idx="2">
                  <c:v>98.2</c:v>
                </c:pt>
                <c:pt idx="3">
                  <c:v>95.9</c:v>
                </c:pt>
                <c:pt idx="4">
                  <c:v>93.6</c:v>
                </c:pt>
                <c:pt idx="5">
                  <c:v>91.3</c:v>
                </c:pt>
                <c:pt idx="6">
                  <c:v>89.1</c:v>
                </c:pt>
                <c:pt idx="7">
                  <c:v>87.6</c:v>
                </c:pt>
                <c:pt idx="8">
                  <c:v>84.4</c:v>
                </c:pt>
                <c:pt idx="9">
                  <c:v>86.4</c:v>
                </c:pt>
                <c:pt idx="10">
                  <c:v>85.3</c:v>
                </c:pt>
                <c:pt idx="11">
                  <c:v>83</c:v>
                </c:pt>
                <c:pt idx="12">
                  <c:v>75.7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26-406A-9E2A-BFBCE1A28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83392"/>
        <c:axId val="1075593648"/>
      </c:scatterChart>
      <c:valAx>
        <c:axId val="128883392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593648"/>
        <c:crosses val="autoZero"/>
        <c:crossBetween val="midCat"/>
      </c:valAx>
      <c:valAx>
        <c:axId val="107559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8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Load!$B$1</c:f>
              <c:strCache>
                <c:ptCount val="1"/>
                <c:pt idx="0">
                  <c:v>Current (0.)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2603893263342079E-2"/>
                  <c:y val="0.16770268299795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Load!$A$2:$A$10</c:f>
              <c:numCache>
                <c:formatCode>General</c:formatCode>
                <c:ptCount val="9"/>
                <c:pt idx="0">
                  <c:v>4.29</c:v>
                </c:pt>
                <c:pt idx="1">
                  <c:v>4.1900000000000004</c:v>
                </c:pt>
                <c:pt idx="2">
                  <c:v>4.09</c:v>
                </c:pt>
                <c:pt idx="3">
                  <c:v>3.99</c:v>
                </c:pt>
                <c:pt idx="4">
                  <c:v>3.9</c:v>
                </c:pt>
                <c:pt idx="5">
                  <c:v>3.8</c:v>
                </c:pt>
                <c:pt idx="6">
                  <c:v>3.7</c:v>
                </c:pt>
                <c:pt idx="7">
                  <c:v>3.6</c:v>
                </c:pt>
                <c:pt idx="8">
                  <c:v>3.51</c:v>
                </c:pt>
              </c:numCache>
            </c:numRef>
          </c:xVal>
          <c:yVal>
            <c:numRef>
              <c:f>Load!$B$2:$B$10</c:f>
              <c:numCache>
                <c:formatCode>General</c:formatCode>
                <c:ptCount val="9"/>
                <c:pt idx="0">
                  <c:v>102.3</c:v>
                </c:pt>
                <c:pt idx="1">
                  <c:v>100.3</c:v>
                </c:pt>
                <c:pt idx="2">
                  <c:v>98.2</c:v>
                </c:pt>
                <c:pt idx="3">
                  <c:v>95.9</c:v>
                </c:pt>
                <c:pt idx="4">
                  <c:v>93.6</c:v>
                </c:pt>
                <c:pt idx="5">
                  <c:v>91.3</c:v>
                </c:pt>
                <c:pt idx="6">
                  <c:v>89.1</c:v>
                </c:pt>
                <c:pt idx="7">
                  <c:v>87.6</c:v>
                </c:pt>
                <c:pt idx="8">
                  <c:v>84.4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91-4385-A1F2-211B3D808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871360"/>
        <c:axId val="16642608"/>
      </c:scatterChart>
      <c:valAx>
        <c:axId val="1849871360"/>
        <c:scaling>
          <c:orientation val="minMax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2608"/>
        <c:crosses val="autoZero"/>
        <c:crossBetween val="midCat"/>
      </c:valAx>
      <c:valAx>
        <c:axId val="1664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87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Discharge</a:t>
            </a:r>
            <a:r>
              <a:rPr lang="en-AU" baseline="0"/>
              <a:t> Performance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497072481324452E-2"/>
          <c:y val="0.110645894190198"/>
          <c:w val="0.84426547042196654"/>
          <c:h val="0.66125145992583445"/>
        </c:manualLayout>
      </c:layout>
      <c:scatterChart>
        <c:scatterStyle val="lineMarker"/>
        <c:varyColors val="0"/>
        <c:ser>
          <c:idx val="0"/>
          <c:order val="0"/>
          <c:tx>
            <c:strRef>
              <c:f>Model!$B$1:$B$2</c:f>
              <c:strCache>
                <c:ptCount val="2"/>
                <c:pt idx="0">
                  <c:v>Battery Capacity</c:v>
                </c:pt>
                <c:pt idx="1">
                  <c:v>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Model!$A$3:$A$183</c:f>
              <c:numCache>
                <c:formatCode>General</c:formatCode>
                <c:ptCount val="18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</c:numCache>
            </c:numRef>
          </c:xVal>
          <c:yVal>
            <c:numRef>
              <c:f>Model!$B$3:$B$183</c:f>
              <c:numCache>
                <c:formatCode>General</c:formatCode>
                <c:ptCount val="181"/>
                <c:pt idx="0">
                  <c:v>100</c:v>
                </c:pt>
                <c:pt idx="1">
                  <c:v>99.423897999999994</c:v>
                </c:pt>
                <c:pt idx="2">
                  <c:v>98.847795999999988</c:v>
                </c:pt>
                <c:pt idx="3">
                  <c:v>98.271693999999982</c:v>
                </c:pt>
                <c:pt idx="4">
                  <c:v>97.695591999999976</c:v>
                </c:pt>
                <c:pt idx="5">
                  <c:v>97.119489999999971</c:v>
                </c:pt>
                <c:pt idx="6">
                  <c:v>96.543387999999965</c:v>
                </c:pt>
                <c:pt idx="7">
                  <c:v>95.967285999999945</c:v>
                </c:pt>
                <c:pt idx="8">
                  <c:v>95.391183999999939</c:v>
                </c:pt>
                <c:pt idx="9">
                  <c:v>94.815081999999933</c:v>
                </c:pt>
                <c:pt idx="10">
                  <c:v>94.238979999999927</c:v>
                </c:pt>
                <c:pt idx="11">
                  <c:v>93.662877999999921</c:v>
                </c:pt>
                <c:pt idx="12">
                  <c:v>93.086775999999915</c:v>
                </c:pt>
                <c:pt idx="13">
                  <c:v>92.510673999999909</c:v>
                </c:pt>
                <c:pt idx="14">
                  <c:v>91.934571999999903</c:v>
                </c:pt>
                <c:pt idx="15">
                  <c:v>91.358469999999897</c:v>
                </c:pt>
                <c:pt idx="16">
                  <c:v>90.782367999999892</c:v>
                </c:pt>
                <c:pt idx="17">
                  <c:v>90.206265999999886</c:v>
                </c:pt>
                <c:pt idx="18">
                  <c:v>89.63016399999988</c:v>
                </c:pt>
                <c:pt idx="19">
                  <c:v>89.054061999999874</c:v>
                </c:pt>
                <c:pt idx="20">
                  <c:v>88.477959999999868</c:v>
                </c:pt>
                <c:pt idx="21">
                  <c:v>87.901857999999862</c:v>
                </c:pt>
                <c:pt idx="22">
                  <c:v>87.325755999999856</c:v>
                </c:pt>
                <c:pt idx="23">
                  <c:v>86.74965399999985</c:v>
                </c:pt>
                <c:pt idx="24">
                  <c:v>86.173551999999859</c:v>
                </c:pt>
                <c:pt idx="25">
                  <c:v>85.597449999999839</c:v>
                </c:pt>
                <c:pt idx="26">
                  <c:v>85.021347999999847</c:v>
                </c:pt>
                <c:pt idx="27">
                  <c:v>84.445245999999827</c:v>
                </c:pt>
                <c:pt idx="28">
                  <c:v>83.869143999999835</c:v>
                </c:pt>
                <c:pt idx="29">
                  <c:v>83.293041999999829</c:v>
                </c:pt>
                <c:pt idx="30">
                  <c:v>82.716939999999823</c:v>
                </c:pt>
                <c:pt idx="31">
                  <c:v>82.140837999999817</c:v>
                </c:pt>
                <c:pt idx="32">
                  <c:v>81.564735999999812</c:v>
                </c:pt>
                <c:pt idx="33">
                  <c:v>80.98863399999982</c:v>
                </c:pt>
                <c:pt idx="34">
                  <c:v>80.412531999999814</c:v>
                </c:pt>
                <c:pt idx="35">
                  <c:v>79.836429999999808</c:v>
                </c:pt>
                <c:pt idx="36">
                  <c:v>79.260327999999802</c:v>
                </c:pt>
                <c:pt idx="37">
                  <c:v>78.684225999999796</c:v>
                </c:pt>
                <c:pt idx="38">
                  <c:v>78.108123999999805</c:v>
                </c:pt>
                <c:pt idx="39">
                  <c:v>77.532021999999785</c:v>
                </c:pt>
                <c:pt idx="40">
                  <c:v>76.955919999999793</c:v>
                </c:pt>
                <c:pt idx="41">
                  <c:v>76.379817999999801</c:v>
                </c:pt>
                <c:pt idx="42">
                  <c:v>75.803715999999781</c:v>
                </c:pt>
                <c:pt idx="43">
                  <c:v>75.227613999999804</c:v>
                </c:pt>
                <c:pt idx="44">
                  <c:v>74.651511999999784</c:v>
                </c:pt>
                <c:pt idx="45">
                  <c:v>74.075409999999792</c:v>
                </c:pt>
                <c:pt idx="46">
                  <c:v>73.499307999999814</c:v>
                </c:pt>
                <c:pt idx="47">
                  <c:v>72.923205999999794</c:v>
                </c:pt>
                <c:pt idx="48">
                  <c:v>72.347103999999803</c:v>
                </c:pt>
                <c:pt idx="49">
                  <c:v>71.771001999999811</c:v>
                </c:pt>
                <c:pt idx="50">
                  <c:v>71.194899999999805</c:v>
                </c:pt>
                <c:pt idx="51">
                  <c:v>70.618797999999813</c:v>
                </c:pt>
                <c:pt idx="52">
                  <c:v>70.042695999999822</c:v>
                </c:pt>
                <c:pt idx="53">
                  <c:v>69.466593999999816</c:v>
                </c:pt>
                <c:pt idx="54">
                  <c:v>68.89049199999981</c:v>
                </c:pt>
                <c:pt idx="55">
                  <c:v>68.314389999999818</c:v>
                </c:pt>
                <c:pt idx="56">
                  <c:v>67.738287999999827</c:v>
                </c:pt>
                <c:pt idx="57">
                  <c:v>67.162185999999807</c:v>
                </c:pt>
                <c:pt idx="58">
                  <c:v>66.586083999999815</c:v>
                </c:pt>
                <c:pt idx="59">
                  <c:v>66.009981999999809</c:v>
                </c:pt>
                <c:pt idx="60">
                  <c:v>65.433879999999817</c:v>
                </c:pt>
                <c:pt idx="61">
                  <c:v>64.857777999999811</c:v>
                </c:pt>
                <c:pt idx="62">
                  <c:v>64.281675999999806</c:v>
                </c:pt>
                <c:pt idx="63">
                  <c:v>63.705573999999807</c:v>
                </c:pt>
                <c:pt idx="64">
                  <c:v>63.129471999999801</c:v>
                </c:pt>
                <c:pt idx="65">
                  <c:v>62.553369999999795</c:v>
                </c:pt>
                <c:pt idx="66">
                  <c:v>61.977267999999796</c:v>
                </c:pt>
                <c:pt idx="67">
                  <c:v>61.401165999999797</c:v>
                </c:pt>
                <c:pt idx="68">
                  <c:v>60.825063999999799</c:v>
                </c:pt>
                <c:pt idx="69">
                  <c:v>60.248961999999786</c:v>
                </c:pt>
                <c:pt idx="70">
                  <c:v>59.672859999999787</c:v>
                </c:pt>
                <c:pt idx="71">
                  <c:v>59.096757999999781</c:v>
                </c:pt>
                <c:pt idx="72">
                  <c:v>58.520655999999782</c:v>
                </c:pt>
                <c:pt idx="73">
                  <c:v>57.944553999999783</c:v>
                </c:pt>
                <c:pt idx="74">
                  <c:v>57.36845199999977</c:v>
                </c:pt>
                <c:pt idx="75">
                  <c:v>56.792349999999779</c:v>
                </c:pt>
                <c:pt idx="76">
                  <c:v>56.21624799999978</c:v>
                </c:pt>
                <c:pt idx="77">
                  <c:v>55.640145999999767</c:v>
                </c:pt>
                <c:pt idx="78">
                  <c:v>55.064043999999768</c:v>
                </c:pt>
                <c:pt idx="79">
                  <c:v>54.487941999999769</c:v>
                </c:pt>
                <c:pt idx="80">
                  <c:v>53.911839999999764</c:v>
                </c:pt>
                <c:pt idx="81">
                  <c:v>53.335737999999765</c:v>
                </c:pt>
                <c:pt idx="82">
                  <c:v>52.759635999999766</c:v>
                </c:pt>
                <c:pt idx="83">
                  <c:v>52.183533999999753</c:v>
                </c:pt>
                <c:pt idx="84">
                  <c:v>51.607431999999761</c:v>
                </c:pt>
                <c:pt idx="85">
                  <c:v>51.031329999999762</c:v>
                </c:pt>
                <c:pt idx="86">
                  <c:v>50.455227999999764</c:v>
                </c:pt>
                <c:pt idx="87">
                  <c:v>49.879125999999765</c:v>
                </c:pt>
                <c:pt idx="88">
                  <c:v>49.303023999999759</c:v>
                </c:pt>
                <c:pt idx="89">
                  <c:v>48.726921999999753</c:v>
                </c:pt>
                <c:pt idx="90">
                  <c:v>48.150819999999754</c:v>
                </c:pt>
                <c:pt idx="91">
                  <c:v>47.574717999999756</c:v>
                </c:pt>
                <c:pt idx="92">
                  <c:v>46.998615999999757</c:v>
                </c:pt>
                <c:pt idx="93">
                  <c:v>46.422513999999751</c:v>
                </c:pt>
                <c:pt idx="94">
                  <c:v>45.846411999999752</c:v>
                </c:pt>
                <c:pt idx="95">
                  <c:v>45.270309999999753</c:v>
                </c:pt>
                <c:pt idx="96">
                  <c:v>44.694207999999755</c:v>
                </c:pt>
                <c:pt idx="97">
                  <c:v>44.118105999999749</c:v>
                </c:pt>
                <c:pt idx="98">
                  <c:v>43.542003999999743</c:v>
                </c:pt>
                <c:pt idx="99">
                  <c:v>42.965901999999751</c:v>
                </c:pt>
                <c:pt idx="100">
                  <c:v>42.389799999999752</c:v>
                </c:pt>
                <c:pt idx="101">
                  <c:v>41.813697999999746</c:v>
                </c:pt>
                <c:pt idx="102">
                  <c:v>41.237595999999748</c:v>
                </c:pt>
                <c:pt idx="103">
                  <c:v>40.661493999999742</c:v>
                </c:pt>
                <c:pt idx="104">
                  <c:v>40.085391999999743</c:v>
                </c:pt>
                <c:pt idx="105">
                  <c:v>39.509289999999744</c:v>
                </c:pt>
                <c:pt idx="106">
                  <c:v>38.933187999999745</c:v>
                </c:pt>
                <c:pt idx="107">
                  <c:v>38.357085999999747</c:v>
                </c:pt>
                <c:pt idx="108">
                  <c:v>37.780983999999741</c:v>
                </c:pt>
                <c:pt idx="109">
                  <c:v>37.204881999999742</c:v>
                </c:pt>
                <c:pt idx="110">
                  <c:v>36.628779999999736</c:v>
                </c:pt>
                <c:pt idx="111">
                  <c:v>36.052677999999744</c:v>
                </c:pt>
                <c:pt idx="112">
                  <c:v>35.476575999999746</c:v>
                </c:pt>
                <c:pt idx="113">
                  <c:v>34.90047399999974</c:v>
                </c:pt>
                <c:pt idx="114">
                  <c:v>34.324371999999734</c:v>
                </c:pt>
                <c:pt idx="115">
                  <c:v>33.748269999999735</c:v>
                </c:pt>
                <c:pt idx="116">
                  <c:v>33.172167999999736</c:v>
                </c:pt>
                <c:pt idx="117">
                  <c:v>32.596065999999738</c:v>
                </c:pt>
                <c:pt idx="118">
                  <c:v>32.019963999999732</c:v>
                </c:pt>
                <c:pt idx="119">
                  <c:v>31.443861999999733</c:v>
                </c:pt>
                <c:pt idx="120">
                  <c:v>30.867759999999734</c:v>
                </c:pt>
                <c:pt idx="121">
                  <c:v>30.291657999999732</c:v>
                </c:pt>
                <c:pt idx="122">
                  <c:v>29.715555999999733</c:v>
                </c:pt>
                <c:pt idx="123">
                  <c:v>29.139453999999727</c:v>
                </c:pt>
                <c:pt idx="124">
                  <c:v>28.563351999999732</c:v>
                </c:pt>
                <c:pt idx="125">
                  <c:v>27.98724999999973</c:v>
                </c:pt>
                <c:pt idx="126">
                  <c:v>27.411147999999731</c:v>
                </c:pt>
                <c:pt idx="127">
                  <c:v>26.835045999999728</c:v>
                </c:pt>
                <c:pt idx="128">
                  <c:v>26.258943999999723</c:v>
                </c:pt>
                <c:pt idx="129">
                  <c:v>25.682841999999724</c:v>
                </c:pt>
                <c:pt idx="130">
                  <c:v>25.106739999999728</c:v>
                </c:pt>
                <c:pt idx="131">
                  <c:v>24.530637999999726</c:v>
                </c:pt>
                <c:pt idx="132">
                  <c:v>23.954535999999727</c:v>
                </c:pt>
                <c:pt idx="133">
                  <c:v>23.378433999999721</c:v>
                </c:pt>
                <c:pt idx="134">
                  <c:v>22.802331999999719</c:v>
                </c:pt>
                <c:pt idx="135">
                  <c:v>22.22622999999972</c:v>
                </c:pt>
                <c:pt idx="136">
                  <c:v>21.650127999999722</c:v>
                </c:pt>
                <c:pt idx="137">
                  <c:v>21.074025999999723</c:v>
                </c:pt>
                <c:pt idx="138">
                  <c:v>20.497923999999717</c:v>
                </c:pt>
                <c:pt idx="139">
                  <c:v>19.921821999999718</c:v>
                </c:pt>
                <c:pt idx="140">
                  <c:v>19.345719999999716</c:v>
                </c:pt>
                <c:pt idx="141">
                  <c:v>18.769617999999717</c:v>
                </c:pt>
                <c:pt idx="142">
                  <c:v>18.193515999999718</c:v>
                </c:pt>
                <c:pt idx="143">
                  <c:v>17.617413999999712</c:v>
                </c:pt>
                <c:pt idx="144">
                  <c:v>17.041311999999714</c:v>
                </c:pt>
                <c:pt idx="145">
                  <c:v>16.465209999999715</c:v>
                </c:pt>
                <c:pt idx="146">
                  <c:v>15.889107999999721</c:v>
                </c:pt>
                <c:pt idx="147">
                  <c:v>15.313005999999724</c:v>
                </c:pt>
                <c:pt idx="148">
                  <c:v>14.736903999999715</c:v>
                </c:pt>
                <c:pt idx="149">
                  <c:v>14.160801999999716</c:v>
                </c:pt>
                <c:pt idx="150">
                  <c:v>13.584699999999719</c:v>
                </c:pt>
                <c:pt idx="151">
                  <c:v>13.008663122011942</c:v>
                </c:pt>
                <c:pt idx="152">
                  <c:v>12.432827386599291</c:v>
                </c:pt>
                <c:pt idx="153">
                  <c:v>11.857194459125818</c:v>
                </c:pt>
                <c:pt idx="154">
                  <c:v>11.281765529529995</c:v>
                </c:pt>
                <c:pt idx="155">
                  <c:v>10.709237290686319</c:v>
                </c:pt>
                <c:pt idx="156">
                  <c:v>10.137070457737012</c:v>
                </c:pt>
                <c:pt idx="157">
                  <c:v>9.5652641721262626</c:v>
                </c:pt>
                <c:pt idx="158">
                  <c:v>8.9938233029851418</c:v>
                </c:pt>
                <c:pt idx="159">
                  <c:v>8.4259917484724536</c:v>
                </c:pt>
                <c:pt idx="160">
                  <c:v>7.8588284352130975</c:v>
                </c:pt>
                <c:pt idx="161">
                  <c:v>7.2923380334215597</c:v>
                </c:pt>
                <c:pt idx="162">
                  <c:v>6.7265168034384555</c:v>
                </c:pt>
                <c:pt idx="163">
                  <c:v>6.1649248036261897</c:v>
                </c:pt>
                <c:pt idx="164">
                  <c:v>5.6043486966266771</c:v>
                </c:pt>
                <c:pt idx="165">
                  <c:v>5.0483719015576991</c:v>
                </c:pt>
                <c:pt idx="166">
                  <c:v>4.4947144972366795</c:v>
                </c:pt>
                <c:pt idx="167">
                  <c:v>3.9464457350913382</c:v>
                </c:pt>
                <c:pt idx="168">
                  <c:v>3.4083005201200605</c:v>
                </c:pt>
                <c:pt idx="169">
                  <c:v>2.8626714237367756</c:v>
                </c:pt>
                <c:pt idx="170">
                  <c:v>2.309122912645758</c:v>
                </c:pt>
                <c:pt idx="171">
                  <c:v>1.7729475247824911</c:v>
                </c:pt>
                <c:pt idx="172">
                  <c:v>1.2449026414172073</c:v>
                </c:pt>
                <c:pt idx="173">
                  <c:v>0.72659687191234257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F0-4A21-A58A-8D6B2C2289EF}"/>
            </c:ext>
          </c:extLst>
        </c:ser>
        <c:ser>
          <c:idx val="3"/>
          <c:order val="3"/>
          <c:tx>
            <c:strRef>
              <c:f>Model!$H$1:$H$2</c:f>
              <c:strCache>
                <c:ptCount val="2"/>
                <c:pt idx="0">
                  <c:v>Load current</c:v>
                </c:pt>
                <c:pt idx="1">
                  <c:v>mA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Model!$A$3:$A$183</c:f>
              <c:numCache>
                <c:formatCode>General</c:formatCode>
                <c:ptCount val="18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</c:numCache>
            </c:numRef>
          </c:xVal>
          <c:yVal>
            <c:numRef>
              <c:f>Model!$H$3:$H$183</c:f>
              <c:numCache>
                <c:formatCode>General</c:formatCode>
                <c:ptCount val="181"/>
                <c:pt idx="0">
                  <c:v>86.415300000000016</c:v>
                </c:pt>
                <c:pt idx="1">
                  <c:v>86.415300000000016</c:v>
                </c:pt>
                <c:pt idx="2">
                  <c:v>86.415300000000016</c:v>
                </c:pt>
                <c:pt idx="3">
                  <c:v>86.415300000000016</c:v>
                </c:pt>
                <c:pt idx="4">
                  <c:v>86.415300000000016</c:v>
                </c:pt>
                <c:pt idx="5">
                  <c:v>86.415300000000016</c:v>
                </c:pt>
                <c:pt idx="6">
                  <c:v>86.415300000000016</c:v>
                </c:pt>
                <c:pt idx="7">
                  <c:v>86.415300000000016</c:v>
                </c:pt>
                <c:pt idx="8">
                  <c:v>86.415300000000016</c:v>
                </c:pt>
                <c:pt idx="9">
                  <c:v>86.415300000000016</c:v>
                </c:pt>
                <c:pt idx="10">
                  <c:v>86.415300000000016</c:v>
                </c:pt>
                <c:pt idx="11">
                  <c:v>86.415300000000016</c:v>
                </c:pt>
                <c:pt idx="12">
                  <c:v>86.415300000000016</c:v>
                </c:pt>
                <c:pt idx="13">
                  <c:v>86.415300000000016</c:v>
                </c:pt>
                <c:pt idx="14">
                  <c:v>86.415300000000016</c:v>
                </c:pt>
                <c:pt idx="15">
                  <c:v>86.415300000000016</c:v>
                </c:pt>
                <c:pt idx="16">
                  <c:v>86.415300000000016</c:v>
                </c:pt>
                <c:pt idx="17">
                  <c:v>86.415300000000016</c:v>
                </c:pt>
                <c:pt idx="18">
                  <c:v>86.415300000000016</c:v>
                </c:pt>
                <c:pt idx="19">
                  <c:v>86.415300000000016</c:v>
                </c:pt>
                <c:pt idx="20">
                  <c:v>86.415300000000016</c:v>
                </c:pt>
                <c:pt idx="21">
                  <c:v>86.415300000000016</c:v>
                </c:pt>
                <c:pt idx="22">
                  <c:v>86.415300000000016</c:v>
                </c:pt>
                <c:pt idx="23">
                  <c:v>86.415300000000016</c:v>
                </c:pt>
                <c:pt idx="24">
                  <c:v>86.415300000000016</c:v>
                </c:pt>
                <c:pt idx="25">
                  <c:v>86.415300000000016</c:v>
                </c:pt>
                <c:pt idx="26">
                  <c:v>86.415300000000016</c:v>
                </c:pt>
                <c:pt idx="27">
                  <c:v>86.415300000000016</c:v>
                </c:pt>
                <c:pt idx="28">
                  <c:v>86.415300000000016</c:v>
                </c:pt>
                <c:pt idx="29">
                  <c:v>86.415300000000016</c:v>
                </c:pt>
                <c:pt idx="30">
                  <c:v>86.415300000000016</c:v>
                </c:pt>
                <c:pt idx="31">
                  <c:v>86.415300000000016</c:v>
                </c:pt>
                <c:pt idx="32">
                  <c:v>86.415300000000016</c:v>
                </c:pt>
                <c:pt idx="33">
                  <c:v>86.415300000000016</c:v>
                </c:pt>
                <c:pt idx="34">
                  <c:v>86.415300000000016</c:v>
                </c:pt>
                <c:pt idx="35">
                  <c:v>86.415300000000016</c:v>
                </c:pt>
                <c:pt idx="36">
                  <c:v>86.415300000000016</c:v>
                </c:pt>
                <c:pt idx="37">
                  <c:v>86.415300000000016</c:v>
                </c:pt>
                <c:pt idx="38">
                  <c:v>86.415300000000016</c:v>
                </c:pt>
                <c:pt idx="39">
                  <c:v>86.415300000000016</c:v>
                </c:pt>
                <c:pt idx="40">
                  <c:v>86.415300000000016</c:v>
                </c:pt>
                <c:pt idx="41">
                  <c:v>86.415300000000016</c:v>
                </c:pt>
                <c:pt idx="42">
                  <c:v>86.415300000000016</c:v>
                </c:pt>
                <c:pt idx="43">
                  <c:v>86.415300000000016</c:v>
                </c:pt>
                <c:pt idx="44">
                  <c:v>86.415300000000016</c:v>
                </c:pt>
                <c:pt idx="45">
                  <c:v>86.415300000000016</c:v>
                </c:pt>
                <c:pt idx="46">
                  <c:v>86.415300000000016</c:v>
                </c:pt>
                <c:pt idx="47">
                  <c:v>86.415300000000016</c:v>
                </c:pt>
                <c:pt idx="48">
                  <c:v>86.415300000000016</c:v>
                </c:pt>
                <c:pt idx="49">
                  <c:v>86.415300000000016</c:v>
                </c:pt>
                <c:pt idx="50">
                  <c:v>86.415300000000016</c:v>
                </c:pt>
                <c:pt idx="51">
                  <c:v>86.415300000000016</c:v>
                </c:pt>
                <c:pt idx="52">
                  <c:v>86.415300000000016</c:v>
                </c:pt>
                <c:pt idx="53">
                  <c:v>86.415300000000016</c:v>
                </c:pt>
                <c:pt idx="54">
                  <c:v>86.415300000000016</c:v>
                </c:pt>
                <c:pt idx="55">
                  <c:v>86.415300000000016</c:v>
                </c:pt>
                <c:pt idx="56">
                  <c:v>86.415300000000016</c:v>
                </c:pt>
                <c:pt idx="57">
                  <c:v>86.415300000000016</c:v>
                </c:pt>
                <c:pt idx="58">
                  <c:v>86.415300000000016</c:v>
                </c:pt>
                <c:pt idx="59">
                  <c:v>86.415300000000016</c:v>
                </c:pt>
                <c:pt idx="60">
                  <c:v>86.415300000000016</c:v>
                </c:pt>
                <c:pt idx="61">
                  <c:v>86.415300000000016</c:v>
                </c:pt>
                <c:pt idx="62">
                  <c:v>86.415300000000016</c:v>
                </c:pt>
                <c:pt idx="63">
                  <c:v>86.415300000000016</c:v>
                </c:pt>
                <c:pt idx="64">
                  <c:v>86.415300000000016</c:v>
                </c:pt>
                <c:pt idx="65">
                  <c:v>86.415300000000016</c:v>
                </c:pt>
                <c:pt idx="66">
                  <c:v>86.415300000000016</c:v>
                </c:pt>
                <c:pt idx="67">
                  <c:v>86.415300000000016</c:v>
                </c:pt>
                <c:pt idx="68">
                  <c:v>86.415300000000016</c:v>
                </c:pt>
                <c:pt idx="69">
                  <c:v>86.415300000000016</c:v>
                </c:pt>
                <c:pt idx="70">
                  <c:v>86.415300000000016</c:v>
                </c:pt>
                <c:pt idx="71">
                  <c:v>86.415300000000016</c:v>
                </c:pt>
                <c:pt idx="72">
                  <c:v>86.415300000000016</c:v>
                </c:pt>
                <c:pt idx="73">
                  <c:v>86.415300000000016</c:v>
                </c:pt>
                <c:pt idx="74">
                  <c:v>86.415300000000016</c:v>
                </c:pt>
                <c:pt idx="75">
                  <c:v>86.415300000000016</c:v>
                </c:pt>
                <c:pt idx="76">
                  <c:v>86.415300000000016</c:v>
                </c:pt>
                <c:pt idx="77">
                  <c:v>86.415300000000016</c:v>
                </c:pt>
                <c:pt idx="78">
                  <c:v>86.415300000000016</c:v>
                </c:pt>
                <c:pt idx="79">
                  <c:v>86.415300000000016</c:v>
                </c:pt>
                <c:pt idx="80">
                  <c:v>86.415300000000016</c:v>
                </c:pt>
                <c:pt idx="81">
                  <c:v>86.415300000000016</c:v>
                </c:pt>
                <c:pt idx="82">
                  <c:v>86.415300000000016</c:v>
                </c:pt>
                <c:pt idx="83">
                  <c:v>86.415300000000016</c:v>
                </c:pt>
                <c:pt idx="84">
                  <c:v>86.415300000000016</c:v>
                </c:pt>
                <c:pt idx="85">
                  <c:v>86.415300000000016</c:v>
                </c:pt>
                <c:pt idx="86">
                  <c:v>86.415300000000016</c:v>
                </c:pt>
                <c:pt idx="87">
                  <c:v>86.415300000000016</c:v>
                </c:pt>
                <c:pt idx="88">
                  <c:v>86.415300000000016</c:v>
                </c:pt>
                <c:pt idx="89">
                  <c:v>86.415300000000016</c:v>
                </c:pt>
                <c:pt idx="90">
                  <c:v>86.415300000000016</c:v>
                </c:pt>
                <c:pt idx="91">
                  <c:v>86.415300000000016</c:v>
                </c:pt>
                <c:pt idx="92">
                  <c:v>86.415300000000016</c:v>
                </c:pt>
                <c:pt idx="93">
                  <c:v>86.415300000000016</c:v>
                </c:pt>
                <c:pt idx="94">
                  <c:v>86.415300000000016</c:v>
                </c:pt>
                <c:pt idx="95">
                  <c:v>86.415300000000016</c:v>
                </c:pt>
                <c:pt idx="96">
                  <c:v>86.415300000000016</c:v>
                </c:pt>
                <c:pt idx="97">
                  <c:v>86.415300000000016</c:v>
                </c:pt>
                <c:pt idx="98">
                  <c:v>86.415300000000016</c:v>
                </c:pt>
                <c:pt idx="99">
                  <c:v>86.415300000000016</c:v>
                </c:pt>
                <c:pt idx="100">
                  <c:v>86.415300000000016</c:v>
                </c:pt>
                <c:pt idx="101">
                  <c:v>86.415300000000016</c:v>
                </c:pt>
                <c:pt idx="102">
                  <c:v>86.415300000000016</c:v>
                </c:pt>
                <c:pt idx="103">
                  <c:v>86.415300000000016</c:v>
                </c:pt>
                <c:pt idx="104">
                  <c:v>86.415300000000016</c:v>
                </c:pt>
                <c:pt idx="105">
                  <c:v>86.415300000000016</c:v>
                </c:pt>
                <c:pt idx="106">
                  <c:v>86.415300000000016</c:v>
                </c:pt>
                <c:pt idx="107">
                  <c:v>86.415300000000016</c:v>
                </c:pt>
                <c:pt idx="108">
                  <c:v>86.415300000000016</c:v>
                </c:pt>
                <c:pt idx="109">
                  <c:v>86.415300000000016</c:v>
                </c:pt>
                <c:pt idx="110">
                  <c:v>86.415300000000016</c:v>
                </c:pt>
                <c:pt idx="111">
                  <c:v>86.415300000000016</c:v>
                </c:pt>
                <c:pt idx="112">
                  <c:v>86.415300000000016</c:v>
                </c:pt>
                <c:pt idx="113">
                  <c:v>86.415300000000016</c:v>
                </c:pt>
                <c:pt idx="114">
                  <c:v>86.415300000000016</c:v>
                </c:pt>
                <c:pt idx="115">
                  <c:v>86.415300000000016</c:v>
                </c:pt>
                <c:pt idx="116">
                  <c:v>86.415300000000016</c:v>
                </c:pt>
                <c:pt idx="117">
                  <c:v>86.415300000000016</c:v>
                </c:pt>
                <c:pt idx="118">
                  <c:v>86.415300000000016</c:v>
                </c:pt>
                <c:pt idx="119">
                  <c:v>86.415300000000016</c:v>
                </c:pt>
                <c:pt idx="120">
                  <c:v>86.415300000000016</c:v>
                </c:pt>
                <c:pt idx="121">
                  <c:v>86.415300000000016</c:v>
                </c:pt>
                <c:pt idx="122">
                  <c:v>86.415300000000016</c:v>
                </c:pt>
                <c:pt idx="123">
                  <c:v>86.415300000000016</c:v>
                </c:pt>
                <c:pt idx="124">
                  <c:v>86.415300000000016</c:v>
                </c:pt>
                <c:pt idx="125">
                  <c:v>86.415300000000016</c:v>
                </c:pt>
                <c:pt idx="126">
                  <c:v>86.415300000000016</c:v>
                </c:pt>
                <c:pt idx="127">
                  <c:v>86.415300000000016</c:v>
                </c:pt>
                <c:pt idx="128">
                  <c:v>86.415300000000016</c:v>
                </c:pt>
                <c:pt idx="129">
                  <c:v>86.415300000000016</c:v>
                </c:pt>
                <c:pt idx="130">
                  <c:v>86.415300000000016</c:v>
                </c:pt>
                <c:pt idx="131">
                  <c:v>86.415300000000016</c:v>
                </c:pt>
                <c:pt idx="132">
                  <c:v>86.415300000000016</c:v>
                </c:pt>
                <c:pt idx="133">
                  <c:v>86.415300000000016</c:v>
                </c:pt>
                <c:pt idx="134">
                  <c:v>86.415300000000016</c:v>
                </c:pt>
                <c:pt idx="135">
                  <c:v>86.415300000000016</c:v>
                </c:pt>
                <c:pt idx="136">
                  <c:v>86.415300000000016</c:v>
                </c:pt>
                <c:pt idx="137">
                  <c:v>86.415300000000016</c:v>
                </c:pt>
                <c:pt idx="138">
                  <c:v>86.415300000000016</c:v>
                </c:pt>
                <c:pt idx="139">
                  <c:v>86.415300000000016</c:v>
                </c:pt>
                <c:pt idx="140">
                  <c:v>86.415300000000016</c:v>
                </c:pt>
                <c:pt idx="141">
                  <c:v>86.415300000000016</c:v>
                </c:pt>
                <c:pt idx="142">
                  <c:v>86.415300000000016</c:v>
                </c:pt>
                <c:pt idx="143">
                  <c:v>86.415300000000016</c:v>
                </c:pt>
                <c:pt idx="144">
                  <c:v>86.415300000000016</c:v>
                </c:pt>
                <c:pt idx="145">
                  <c:v>86.415300000000016</c:v>
                </c:pt>
                <c:pt idx="146">
                  <c:v>86.415300000000016</c:v>
                </c:pt>
                <c:pt idx="147">
                  <c:v>86.415300000000016</c:v>
                </c:pt>
                <c:pt idx="148">
                  <c:v>86.415300000000016</c:v>
                </c:pt>
                <c:pt idx="149">
                  <c:v>86.415300000000016</c:v>
                </c:pt>
                <c:pt idx="150">
                  <c:v>86.405531698166598</c:v>
                </c:pt>
                <c:pt idx="151">
                  <c:v>86.375360311898163</c:v>
                </c:pt>
                <c:pt idx="152">
                  <c:v>86.34493912101982</c:v>
                </c:pt>
                <c:pt idx="153">
                  <c:v>86.314339439373654</c:v>
                </c:pt>
                <c:pt idx="154">
                  <c:v>85.879235826551522</c:v>
                </c:pt>
                <c:pt idx="155">
                  <c:v>85.825024942396496</c:v>
                </c:pt>
                <c:pt idx="156">
                  <c:v>85.770942841613035</c:v>
                </c:pt>
                <c:pt idx="157">
                  <c:v>85.716130371166813</c:v>
                </c:pt>
                <c:pt idx="158">
                  <c:v>85.174733176903459</c:v>
                </c:pt>
                <c:pt idx="159">
                  <c:v>85.074496988903846</c:v>
                </c:pt>
                <c:pt idx="160">
                  <c:v>84.973560268729614</c:v>
                </c:pt>
                <c:pt idx="161">
                  <c:v>84.873184497467534</c:v>
                </c:pt>
                <c:pt idx="162">
                  <c:v>84.238799971838617</c:v>
                </c:pt>
                <c:pt idx="163">
                  <c:v>84.086416049928616</c:v>
                </c:pt>
                <c:pt idx="164">
                  <c:v>83.396519260345556</c:v>
                </c:pt>
                <c:pt idx="165">
                  <c:v>83.048610648151765</c:v>
                </c:pt>
                <c:pt idx="166">
                  <c:v>82.240314321802884</c:v>
                </c:pt>
                <c:pt idx="167">
                  <c:v>80.721782245690505</c:v>
                </c:pt>
                <c:pt idx="168">
                  <c:v>81.844364457494507</c:v>
                </c:pt>
                <c:pt idx="169">
                  <c:v>83.032276663651444</c:v>
                </c:pt>
                <c:pt idx="170">
                  <c:v>80.426308179488927</c:v>
                </c:pt>
                <c:pt idx="171">
                  <c:v>79.206732504794232</c:v>
                </c:pt>
                <c:pt idx="172">
                  <c:v>77.74586542572861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9F0-4A21-A58A-8D6B2C2289EF}"/>
            </c:ext>
          </c:extLst>
        </c:ser>
        <c:ser>
          <c:idx val="4"/>
          <c:order val="4"/>
          <c:tx>
            <c:strRef>
              <c:f>Model!$J$1:$J$2</c:f>
              <c:strCache>
                <c:ptCount val="2"/>
                <c:pt idx="0">
                  <c:v>Efficiency</c:v>
                </c:pt>
                <c:pt idx="1">
                  <c:v>%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Model!$A$3:$A$183</c:f>
              <c:numCache>
                <c:formatCode>General</c:formatCode>
                <c:ptCount val="18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</c:numCache>
            </c:numRef>
          </c:xVal>
          <c:yVal>
            <c:numRef>
              <c:f>Model!$J$3:$J$183</c:f>
              <c:numCache>
                <c:formatCode>General</c:formatCode>
                <c:ptCount val="181"/>
                <c:pt idx="0">
                  <c:v>85.11904761904762</c:v>
                </c:pt>
                <c:pt idx="1">
                  <c:v>85.98451543787121</c:v>
                </c:pt>
                <c:pt idx="2">
                  <c:v>86.373840115507704</c:v>
                </c:pt>
                <c:pt idx="3">
                  <c:v>86.375741483267305</c:v>
                </c:pt>
                <c:pt idx="4">
                  <c:v>86.701878799856999</c:v>
                </c:pt>
                <c:pt idx="5">
                  <c:v>86.866590521417109</c:v>
                </c:pt>
                <c:pt idx="6">
                  <c:v>86.868154301862802</c:v>
                </c:pt>
                <c:pt idx="7">
                  <c:v>87.132650490643456</c:v>
                </c:pt>
                <c:pt idx="8">
                  <c:v>87.135033752545382</c:v>
                </c:pt>
                <c:pt idx="9">
                  <c:v>87.137417144825363</c:v>
                </c:pt>
                <c:pt idx="10">
                  <c:v>87.536472966399216</c:v>
                </c:pt>
                <c:pt idx="11">
                  <c:v>87.541976669065136</c:v>
                </c:pt>
                <c:pt idx="12">
                  <c:v>87.547481063845922</c:v>
                </c:pt>
                <c:pt idx="13">
                  <c:v>87.552986150872172</c:v>
                </c:pt>
                <c:pt idx="14">
                  <c:v>87.558491930274428</c:v>
                </c:pt>
                <c:pt idx="15">
                  <c:v>87.563998402183358</c:v>
                </c:pt>
                <c:pt idx="16">
                  <c:v>87.569505566729632</c:v>
                </c:pt>
                <c:pt idx="17">
                  <c:v>88.45027259874098</c:v>
                </c:pt>
                <c:pt idx="18">
                  <c:v>88.454618362559529</c:v>
                </c:pt>
                <c:pt idx="19">
                  <c:v>88.458964553433646</c:v>
                </c:pt>
                <c:pt idx="20">
                  <c:v>88.463311171426312</c:v>
                </c:pt>
                <c:pt idx="21">
                  <c:v>88.467658216600469</c:v>
                </c:pt>
                <c:pt idx="22">
                  <c:v>89.13615578150447</c:v>
                </c:pt>
                <c:pt idx="23">
                  <c:v>89.141429900345898</c:v>
                </c:pt>
                <c:pt idx="24">
                  <c:v>89.146704643355477</c:v>
                </c:pt>
                <c:pt idx="25">
                  <c:v>89.151980010644067</c:v>
                </c:pt>
                <c:pt idx="26">
                  <c:v>89.157256002322413</c:v>
                </c:pt>
                <c:pt idx="27">
                  <c:v>89.162532618501473</c:v>
                </c:pt>
                <c:pt idx="28">
                  <c:v>89.167809859292078</c:v>
                </c:pt>
                <c:pt idx="29">
                  <c:v>89.946314318474592</c:v>
                </c:pt>
                <c:pt idx="30">
                  <c:v>89.951187088936507</c:v>
                </c:pt>
                <c:pt idx="31">
                  <c:v>89.956060387384014</c:v>
                </c:pt>
                <c:pt idx="32">
                  <c:v>89.960934213902917</c:v>
                </c:pt>
                <c:pt idx="33">
                  <c:v>89.96580856857905</c:v>
                </c:pt>
                <c:pt idx="34">
                  <c:v>89.970683451498275</c:v>
                </c:pt>
                <c:pt idx="35">
                  <c:v>90.657814659260566</c:v>
                </c:pt>
                <c:pt idx="36">
                  <c:v>90.662994347847729</c:v>
                </c:pt>
                <c:pt idx="37">
                  <c:v>90.668174628346492</c:v>
                </c:pt>
                <c:pt idx="38">
                  <c:v>90.673355500858349</c:v>
                </c:pt>
                <c:pt idx="39">
                  <c:v>90.678536965484781</c:v>
                </c:pt>
                <c:pt idx="40">
                  <c:v>90.68371902232731</c:v>
                </c:pt>
                <c:pt idx="41">
                  <c:v>90.688901671487457</c:v>
                </c:pt>
                <c:pt idx="42">
                  <c:v>90.694084913066803</c:v>
                </c:pt>
                <c:pt idx="43">
                  <c:v>91.385846566579971</c:v>
                </c:pt>
                <c:pt idx="44">
                  <c:v>91.392248537411518</c:v>
                </c:pt>
                <c:pt idx="45">
                  <c:v>91.398651405276993</c:v>
                </c:pt>
                <c:pt idx="46">
                  <c:v>91.405055170364918</c:v>
                </c:pt>
                <c:pt idx="47">
                  <c:v>91.411459832863912</c:v>
                </c:pt>
                <c:pt idx="48">
                  <c:v>91.417865392962653</c:v>
                </c:pt>
                <c:pt idx="49">
                  <c:v>91.424271850849806</c:v>
                </c:pt>
                <c:pt idx="50">
                  <c:v>92.230968800393356</c:v>
                </c:pt>
                <c:pt idx="51">
                  <c:v>92.236679581484779</c:v>
                </c:pt>
                <c:pt idx="52">
                  <c:v>92.24239106982327</c:v>
                </c:pt>
                <c:pt idx="53">
                  <c:v>92.248103265540209</c:v>
                </c:pt>
                <c:pt idx="54">
                  <c:v>92.253816168766974</c:v>
                </c:pt>
                <c:pt idx="55">
                  <c:v>92.259529779635074</c:v>
                </c:pt>
                <c:pt idx="56">
                  <c:v>92.265244098275986</c:v>
                </c:pt>
                <c:pt idx="57">
                  <c:v>92.270959124821218</c:v>
                </c:pt>
                <c:pt idx="58">
                  <c:v>92.27667485940232</c:v>
                </c:pt>
                <c:pt idx="59">
                  <c:v>92.947581573007923</c:v>
                </c:pt>
                <c:pt idx="60">
                  <c:v>92.953472544231545</c:v>
                </c:pt>
                <c:pt idx="61">
                  <c:v>92.959364262236093</c:v>
                </c:pt>
                <c:pt idx="62">
                  <c:v>92.96525672716362</c:v>
                </c:pt>
                <c:pt idx="63">
                  <c:v>92.971149939156163</c:v>
                </c:pt>
                <c:pt idx="64">
                  <c:v>92.977043898355774</c:v>
                </c:pt>
                <c:pt idx="65">
                  <c:v>92.982938604904604</c:v>
                </c:pt>
                <c:pt idx="66">
                  <c:v>92.988834058944761</c:v>
                </c:pt>
                <c:pt idx="67">
                  <c:v>92.994730260618482</c:v>
                </c:pt>
                <c:pt idx="68">
                  <c:v>93.63261365471601</c:v>
                </c:pt>
                <c:pt idx="69">
                  <c:v>93.638741874207213</c:v>
                </c:pt>
                <c:pt idx="70">
                  <c:v>93.644870895930225</c:v>
                </c:pt>
                <c:pt idx="71">
                  <c:v>93.651000720042646</c:v>
                </c:pt>
                <c:pt idx="72">
                  <c:v>93.65713134670203</c:v>
                </c:pt>
                <c:pt idx="73">
                  <c:v>93.663262776065963</c:v>
                </c:pt>
                <c:pt idx="74">
                  <c:v>93.669395008292184</c:v>
                </c:pt>
                <c:pt idx="75">
                  <c:v>93.67552804353835</c:v>
                </c:pt>
                <c:pt idx="76">
                  <c:v>93.681661881962199</c:v>
                </c:pt>
                <c:pt idx="77">
                  <c:v>93.687796523721531</c:v>
                </c:pt>
                <c:pt idx="78">
                  <c:v>94.289294330227506</c:v>
                </c:pt>
                <c:pt idx="79">
                  <c:v>94.29453109269555</c:v>
                </c:pt>
                <c:pt idx="80">
                  <c:v>94.299768436888272</c:v>
                </c:pt>
                <c:pt idx="81">
                  <c:v>94.305006362902603</c:v>
                </c:pt>
                <c:pt idx="82">
                  <c:v>94.310244870835476</c:v>
                </c:pt>
                <c:pt idx="83">
                  <c:v>94.315483960783894</c:v>
                </c:pt>
                <c:pt idx="84">
                  <c:v>94.320723632844889</c:v>
                </c:pt>
                <c:pt idx="85">
                  <c:v>94.325963887115421</c:v>
                </c:pt>
                <c:pt idx="86">
                  <c:v>94.331204723692579</c:v>
                </c:pt>
                <c:pt idx="87">
                  <c:v>94.796287559748365</c:v>
                </c:pt>
                <c:pt idx="88">
                  <c:v>94.802147667075687</c:v>
                </c:pt>
                <c:pt idx="89">
                  <c:v>94.808008498966828</c:v>
                </c:pt>
                <c:pt idx="90">
                  <c:v>94.813870055556222</c:v>
                </c:pt>
                <c:pt idx="91">
                  <c:v>94.819732336978262</c:v>
                </c:pt>
                <c:pt idx="92">
                  <c:v>94.825595343367382</c:v>
                </c:pt>
                <c:pt idx="93">
                  <c:v>94.831459074858103</c:v>
                </c:pt>
                <c:pt idx="94">
                  <c:v>94.837323531584971</c:v>
                </c:pt>
                <c:pt idx="95">
                  <c:v>94.84318871368248</c:v>
                </c:pt>
                <c:pt idx="96">
                  <c:v>94.849054621285262</c:v>
                </c:pt>
                <c:pt idx="97">
                  <c:v>94.854921254527923</c:v>
                </c:pt>
                <c:pt idx="98">
                  <c:v>95.307875578724861</c:v>
                </c:pt>
                <c:pt idx="99">
                  <c:v>95.313114453877276</c:v>
                </c:pt>
                <c:pt idx="100">
                  <c:v>95.318353905001445</c:v>
                </c:pt>
                <c:pt idx="101">
                  <c:v>95.323593932192324</c:v>
                </c:pt>
                <c:pt idx="102">
                  <c:v>95.328834535544971</c:v>
                </c:pt>
                <c:pt idx="103">
                  <c:v>95.336111785287216</c:v>
                </c:pt>
                <c:pt idx="104">
                  <c:v>95.341738706141115</c:v>
                </c:pt>
                <c:pt idx="105">
                  <c:v>95.347376369508481</c:v>
                </c:pt>
                <c:pt idx="106">
                  <c:v>95.35307990496996</c:v>
                </c:pt>
                <c:pt idx="107">
                  <c:v>95.35871912749549</c:v>
                </c:pt>
                <c:pt idx="108">
                  <c:v>95.364441779800586</c:v>
                </c:pt>
                <c:pt idx="109">
                  <c:v>95.370090390306444</c:v>
                </c:pt>
                <c:pt idx="110">
                  <c:v>95.707298576273942</c:v>
                </c:pt>
                <c:pt idx="111">
                  <c:v>95.713480045281628</c:v>
                </c:pt>
                <c:pt idx="112">
                  <c:v>95.719687468447276</c:v>
                </c:pt>
                <c:pt idx="113">
                  <c:v>95.725917728908897</c:v>
                </c:pt>
                <c:pt idx="114">
                  <c:v>95.732123549051948</c:v>
                </c:pt>
                <c:pt idx="115">
                  <c:v>95.738379375229627</c:v>
                </c:pt>
                <c:pt idx="116">
                  <c:v>95.744596100683424</c:v>
                </c:pt>
                <c:pt idx="117">
                  <c:v>95.750888017388164</c:v>
                </c:pt>
                <c:pt idx="118">
                  <c:v>95.757116562303537</c:v>
                </c:pt>
                <c:pt idx="119">
                  <c:v>95.763435581329702</c:v>
                </c:pt>
                <c:pt idx="120">
                  <c:v>96.075145677342931</c:v>
                </c:pt>
                <c:pt idx="121">
                  <c:v>96.084338903434158</c:v>
                </c:pt>
                <c:pt idx="122">
                  <c:v>96.093566084945891</c:v>
                </c:pt>
                <c:pt idx="123">
                  <c:v>96.102774218908422</c:v>
                </c:pt>
                <c:pt idx="124">
                  <c:v>96.112046756834772</c:v>
                </c:pt>
                <c:pt idx="125">
                  <c:v>96.121332059707882</c:v>
                </c:pt>
                <c:pt idx="126">
                  <c:v>96.130568899100425</c:v>
                </c:pt>
                <c:pt idx="127">
                  <c:v>96.139807513903222</c:v>
                </c:pt>
                <c:pt idx="128">
                  <c:v>96.149047904628276</c:v>
                </c:pt>
                <c:pt idx="129">
                  <c:v>96.523431677003771</c:v>
                </c:pt>
                <c:pt idx="130">
                  <c:v>96.539156889495231</c:v>
                </c:pt>
                <c:pt idx="131">
                  <c:v>96.554930333327633</c:v>
                </c:pt>
                <c:pt idx="132">
                  <c:v>96.570750029890291</c:v>
                </c:pt>
                <c:pt idx="133">
                  <c:v>96.586525915346684</c:v>
                </c:pt>
                <c:pt idx="134">
                  <c:v>96.602400048560682</c:v>
                </c:pt>
                <c:pt idx="135">
                  <c:v>96.618202866061637</c:v>
                </c:pt>
                <c:pt idx="136">
                  <c:v>96.634103674585219</c:v>
                </c:pt>
                <c:pt idx="137">
                  <c:v>96.649929062475579</c:v>
                </c:pt>
                <c:pt idx="138">
                  <c:v>97.147295899434383</c:v>
                </c:pt>
                <c:pt idx="139">
                  <c:v>97.170839018026754</c:v>
                </c:pt>
                <c:pt idx="140">
                  <c:v>97.194376927386145</c:v>
                </c:pt>
                <c:pt idx="141">
                  <c:v>97.218031580666846</c:v>
                </c:pt>
                <c:pt idx="142">
                  <c:v>97.241620265723085</c:v>
                </c:pt>
                <c:pt idx="143">
                  <c:v>97.265382059540613</c:v>
                </c:pt>
                <c:pt idx="144">
                  <c:v>97.289021728703489</c:v>
                </c:pt>
                <c:pt idx="145">
                  <c:v>97.848646882080232</c:v>
                </c:pt>
                <c:pt idx="146">
                  <c:v>97.876788055863642</c:v>
                </c:pt>
                <c:pt idx="147">
                  <c:v>97.904917503321414</c:v>
                </c:pt>
                <c:pt idx="148">
                  <c:v>97.933288075913424</c:v>
                </c:pt>
                <c:pt idx="149">
                  <c:v>97.961515162028817</c:v>
                </c:pt>
                <c:pt idx="150">
                  <c:v>98.484668053587001</c:v>
                </c:pt>
                <c:pt idx="151">
                  <c:v>98.484110483501738</c:v>
                </c:pt>
                <c:pt idx="152">
                  <c:v>98.483547881420876</c:v>
                </c:pt>
                <c:pt idx="153">
                  <c:v>98.482981556931023</c:v>
                </c:pt>
                <c:pt idx="154">
                  <c:v>98.474882851070831</c:v>
                </c:pt>
                <c:pt idx="155">
                  <c:v>98.473867746607908</c:v>
                </c:pt>
                <c:pt idx="156">
                  <c:v>98.472853706254682</c:v>
                </c:pt>
                <c:pt idx="157">
                  <c:v>98.471824595549364</c:v>
                </c:pt>
                <c:pt idx="158">
                  <c:v>98.461584791588024</c:v>
                </c:pt>
                <c:pt idx="159">
                  <c:v>98.459673884123973</c:v>
                </c:pt>
                <c:pt idx="160">
                  <c:v>98.457744818611317</c:v>
                </c:pt>
                <c:pt idx="161">
                  <c:v>98.455821676151515</c:v>
                </c:pt>
                <c:pt idx="162">
                  <c:v>98.443555404746576</c:v>
                </c:pt>
                <c:pt idx="163">
                  <c:v>98.440579871414727</c:v>
                </c:pt>
                <c:pt idx="164">
                  <c:v>98.426964969237858</c:v>
                </c:pt>
                <c:pt idx="165">
                  <c:v>98.420008526921379</c:v>
                </c:pt>
                <c:pt idx="166">
                  <c:v>98.403606627836481</c:v>
                </c:pt>
                <c:pt idx="167">
                  <c:v>98.371853520468193</c:v>
                </c:pt>
                <c:pt idx="168">
                  <c:v>98.395447137819431</c:v>
                </c:pt>
                <c:pt idx="169">
                  <c:v>98.419680416008035</c:v>
                </c:pt>
                <c:pt idx="170">
                  <c:v>98.36552766465239</c:v>
                </c:pt>
                <c:pt idx="171">
                  <c:v>98.338888912567455</c:v>
                </c:pt>
                <c:pt idx="172">
                  <c:v>98.305813950719411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7B-46A6-91E2-8B4CA562F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30240"/>
        <c:axId val="1878198880"/>
      </c:scatterChart>
      <c:scatterChart>
        <c:scatterStyle val="lineMarker"/>
        <c:varyColors val="0"/>
        <c:ser>
          <c:idx val="1"/>
          <c:order val="1"/>
          <c:tx>
            <c:strRef>
              <c:f>Model!$E$1:$E$2</c:f>
              <c:strCache>
                <c:ptCount val="2"/>
                <c:pt idx="0">
                  <c:v>Battery Voltage</c:v>
                </c:pt>
                <c:pt idx="1">
                  <c:v>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Model!$A$3:$A$183</c:f>
              <c:numCache>
                <c:formatCode>General</c:formatCode>
                <c:ptCount val="18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</c:numCache>
            </c:numRef>
          </c:xVal>
          <c:yVal>
            <c:numRef>
              <c:f>Model!$E$3:$E$183</c:f>
              <c:numCache>
                <c:formatCode>General</c:formatCode>
                <c:ptCount val="181"/>
                <c:pt idx="0">
                  <c:v>4.2</c:v>
                </c:pt>
                <c:pt idx="1">
                  <c:v>4.1577253553090552</c:v>
                </c:pt>
                <c:pt idx="2">
                  <c:v>4.1389846685282885</c:v>
                </c:pt>
                <c:pt idx="3">
                  <c:v>4.1388935580860382</c:v>
                </c:pt>
                <c:pt idx="4">
                  <c:v>4.1233247185479636</c:v>
                </c:pt>
                <c:pt idx="5">
                  <c:v>4.1155062936637048</c:v>
                </c:pt>
                <c:pt idx="6">
                  <c:v>4.1154322072701595</c:v>
                </c:pt>
                <c:pt idx="7">
                  <c:v>4.1029395753132674</c:v>
                </c:pt>
                <c:pt idx="8">
                  <c:v>4.1028273543252833</c:v>
                </c:pt>
                <c:pt idx="9">
                  <c:v>4.1027151333372993</c:v>
                </c:pt>
                <c:pt idx="10">
                  <c:v>4.0840119310864402</c:v>
                </c:pt>
                <c:pt idx="11">
                  <c:v>4.0837551721211067</c:v>
                </c:pt>
                <c:pt idx="12">
                  <c:v>4.0834984131557741</c:v>
                </c:pt>
                <c:pt idx="13">
                  <c:v>4.0832416541904406</c:v>
                </c:pt>
                <c:pt idx="14">
                  <c:v>4.082984895225108</c:v>
                </c:pt>
                <c:pt idx="15">
                  <c:v>4.0827281362597754</c:v>
                </c:pt>
                <c:pt idx="16">
                  <c:v>4.0824713772944419</c:v>
                </c:pt>
                <c:pt idx="17">
                  <c:v>4.0418190865483981</c:v>
                </c:pt>
                <c:pt idx="18">
                  <c:v>4.0416205125058822</c:v>
                </c:pt>
                <c:pt idx="19">
                  <c:v>4.0414219384633663</c:v>
                </c:pt>
                <c:pt idx="20">
                  <c:v>4.0412233644208504</c:v>
                </c:pt>
                <c:pt idx="21">
                  <c:v>4.0410247903783345</c:v>
                </c:pt>
                <c:pt idx="22">
                  <c:v>4.0107181745230749</c:v>
                </c:pt>
                <c:pt idx="23">
                  <c:v>4.0104808774063967</c:v>
                </c:pt>
                <c:pt idx="24">
                  <c:v>4.0102435802897194</c:v>
                </c:pt>
                <c:pt idx="25">
                  <c:v>4.0100062831730412</c:v>
                </c:pt>
                <c:pt idx="26">
                  <c:v>4.0097689860563639</c:v>
                </c:pt>
                <c:pt idx="27">
                  <c:v>4.0095316889396857</c:v>
                </c:pt>
                <c:pt idx="28">
                  <c:v>4.0092943918230075</c:v>
                </c:pt>
                <c:pt idx="29">
                  <c:v>3.9745930971022689</c:v>
                </c:pt>
                <c:pt idx="30">
                  <c:v>3.9743777883279376</c:v>
                </c:pt>
                <c:pt idx="31">
                  <c:v>3.9741624795536068</c:v>
                </c:pt>
                <c:pt idx="32">
                  <c:v>3.9739471707792755</c:v>
                </c:pt>
                <c:pt idx="33">
                  <c:v>3.9737318620049442</c:v>
                </c:pt>
                <c:pt idx="34">
                  <c:v>3.9735165532306134</c:v>
                </c:pt>
                <c:pt idx="35">
                  <c:v>3.9433997095967048</c:v>
                </c:pt>
                <c:pt idx="36">
                  <c:v>3.9431744183120156</c:v>
                </c:pt>
                <c:pt idx="37">
                  <c:v>3.9429491270273265</c:v>
                </c:pt>
                <c:pt idx="38">
                  <c:v>3.9427238357426373</c:v>
                </c:pt>
                <c:pt idx="39">
                  <c:v>3.9424985444579481</c:v>
                </c:pt>
                <c:pt idx="40">
                  <c:v>3.9422732531732585</c:v>
                </c:pt>
                <c:pt idx="41">
                  <c:v>3.9420479618885693</c:v>
                </c:pt>
                <c:pt idx="42">
                  <c:v>3.9418226706038801</c:v>
                </c:pt>
                <c:pt idx="43">
                  <c:v>3.9119843327110861</c:v>
                </c:pt>
                <c:pt idx="44">
                  <c:v>3.9117103006132625</c:v>
                </c:pt>
                <c:pt idx="45">
                  <c:v>3.9114362685154394</c:v>
                </c:pt>
                <c:pt idx="46">
                  <c:v>3.9111622364176157</c:v>
                </c:pt>
                <c:pt idx="47">
                  <c:v>3.9108882043197926</c:v>
                </c:pt>
                <c:pt idx="48">
                  <c:v>3.9106141722219689</c:v>
                </c:pt>
                <c:pt idx="49">
                  <c:v>3.9103401401241458</c:v>
                </c:pt>
                <c:pt idx="50">
                  <c:v>3.8761384017737366</c:v>
                </c:pt>
                <c:pt idx="51">
                  <c:v>3.8758984128886955</c:v>
                </c:pt>
                <c:pt idx="52">
                  <c:v>3.8756584240036545</c:v>
                </c:pt>
                <c:pt idx="53">
                  <c:v>3.8754184351186134</c:v>
                </c:pt>
                <c:pt idx="54">
                  <c:v>3.8751784462335723</c:v>
                </c:pt>
                <c:pt idx="55">
                  <c:v>3.8749384573485313</c:v>
                </c:pt>
                <c:pt idx="56">
                  <c:v>3.8746984684634902</c:v>
                </c:pt>
                <c:pt idx="57">
                  <c:v>3.8744584795784491</c:v>
                </c:pt>
                <c:pt idx="58">
                  <c:v>3.8742184906934081</c:v>
                </c:pt>
                <c:pt idx="59">
                  <c:v>3.8462539202183867</c:v>
                </c:pt>
                <c:pt idx="60">
                  <c:v>3.8460101620182621</c:v>
                </c:pt>
                <c:pt idx="61">
                  <c:v>3.8457664038181374</c:v>
                </c:pt>
                <c:pt idx="62">
                  <c:v>3.8455226456180127</c:v>
                </c:pt>
                <c:pt idx="63">
                  <c:v>3.845278887417888</c:v>
                </c:pt>
                <c:pt idx="64">
                  <c:v>3.8450351292177634</c:v>
                </c:pt>
                <c:pt idx="65">
                  <c:v>3.8447913710176387</c:v>
                </c:pt>
                <c:pt idx="66">
                  <c:v>3.8445476128175144</c:v>
                </c:pt>
                <c:pt idx="67">
                  <c:v>3.8443038546173898</c:v>
                </c:pt>
                <c:pt idx="68">
                  <c:v>3.8181140742085198</c:v>
                </c:pt>
                <c:pt idx="69">
                  <c:v>3.8178641964269433</c:v>
                </c:pt>
                <c:pt idx="70">
                  <c:v>3.8176143186453668</c:v>
                </c:pt>
                <c:pt idx="71">
                  <c:v>3.8173644408637903</c:v>
                </c:pt>
                <c:pt idx="72">
                  <c:v>3.8171145630822139</c:v>
                </c:pt>
                <c:pt idx="73">
                  <c:v>3.8168646853006378</c:v>
                </c:pt>
                <c:pt idx="74">
                  <c:v>3.8166148075190613</c:v>
                </c:pt>
                <c:pt idx="75">
                  <c:v>3.8163649297374849</c:v>
                </c:pt>
                <c:pt idx="76">
                  <c:v>3.8161150519559084</c:v>
                </c:pt>
                <c:pt idx="77">
                  <c:v>3.8158651741743319</c:v>
                </c:pt>
                <c:pt idx="78">
                  <c:v>3.7915227019086064</c:v>
                </c:pt>
                <c:pt idx="79">
                  <c:v>3.7913121350437837</c:v>
                </c:pt>
                <c:pt idx="80">
                  <c:v>3.7911015681789615</c:v>
                </c:pt>
                <c:pt idx="81">
                  <c:v>3.7908910013141388</c:v>
                </c:pt>
                <c:pt idx="82">
                  <c:v>3.7906804344493161</c:v>
                </c:pt>
                <c:pt idx="83">
                  <c:v>3.7904698675844939</c:v>
                </c:pt>
                <c:pt idx="84">
                  <c:v>3.7902593007196712</c:v>
                </c:pt>
                <c:pt idx="85">
                  <c:v>3.790048733854849</c:v>
                </c:pt>
                <c:pt idx="86">
                  <c:v>3.7898381669900263</c:v>
                </c:pt>
                <c:pt idx="87">
                  <c:v>3.7712447312314241</c:v>
                </c:pt>
                <c:pt idx="88">
                  <c:v>3.7710116152163713</c:v>
                </c:pt>
                <c:pt idx="89">
                  <c:v>3.7707784992013185</c:v>
                </c:pt>
                <c:pt idx="90">
                  <c:v>3.7705453831862656</c:v>
                </c:pt>
                <c:pt idx="91">
                  <c:v>3.7703122671712128</c:v>
                </c:pt>
                <c:pt idx="92">
                  <c:v>3.77007915115616</c:v>
                </c:pt>
                <c:pt idx="93">
                  <c:v>3.7698460351411072</c:v>
                </c:pt>
                <c:pt idx="94">
                  <c:v>3.7696129191260543</c:v>
                </c:pt>
                <c:pt idx="95">
                  <c:v>3.7693798031110015</c:v>
                </c:pt>
                <c:pt idx="96">
                  <c:v>3.7691466870959487</c:v>
                </c:pt>
                <c:pt idx="97">
                  <c:v>3.7689135710808959</c:v>
                </c:pt>
                <c:pt idx="98">
                  <c:v>3.7510016651740701</c:v>
                </c:pt>
                <c:pt idx="99">
                  <c:v>3.750795491768312</c:v>
                </c:pt>
                <c:pt idx="100">
                  <c:v>3.7505893183625538</c:v>
                </c:pt>
                <c:pt idx="101">
                  <c:v>3.7503831449567957</c:v>
                </c:pt>
                <c:pt idx="102">
                  <c:v>3.7501769715510376</c:v>
                </c:pt>
                <c:pt idx="103">
                  <c:v>3.7498907109317559</c:v>
                </c:pt>
                <c:pt idx="104">
                  <c:v>3.7496693982251954</c:v>
                </c:pt>
                <c:pt idx="105">
                  <c:v>3.749447689200669</c:v>
                </c:pt>
                <c:pt idx="106">
                  <c:v>3.7492234163415472</c:v>
                </c:pt>
                <c:pt idx="107">
                  <c:v>3.7490016987541455</c:v>
                </c:pt>
                <c:pt idx="108">
                  <c:v>3.7487767277606308</c:v>
                </c:pt>
                <c:pt idx="109">
                  <c:v>3.7485546940022285</c:v>
                </c:pt>
                <c:pt idx="110">
                  <c:v>3.7353473070299903</c:v>
                </c:pt>
                <c:pt idx="111">
                  <c:v>3.7351060668870084</c:v>
                </c:pt>
                <c:pt idx="112">
                  <c:v>3.7348638452026406</c:v>
                </c:pt>
                <c:pt idx="113">
                  <c:v>3.734620763965121</c:v>
                </c:pt>
                <c:pt idx="114">
                  <c:v>3.734378667750136</c:v>
                </c:pt>
                <c:pt idx="115">
                  <c:v>3.7341346525079779</c:v>
                </c:pt>
                <c:pt idx="116">
                  <c:v>3.7338921940206315</c:v>
                </c:pt>
                <c:pt idx="117">
                  <c:v>3.7336468350568066</c:v>
                </c:pt>
                <c:pt idx="118">
                  <c:v>3.7334039790911597</c:v>
                </c:pt>
                <c:pt idx="119">
                  <c:v>3.7331576277501388</c:v>
                </c:pt>
                <c:pt idx="120">
                  <c:v>3.7210456198590811</c:v>
                </c:pt>
                <c:pt idx="121">
                  <c:v>3.7206895949952008</c:v>
                </c:pt>
                <c:pt idx="122">
                  <c:v>3.7203323236435319</c:v>
                </c:pt>
                <c:pt idx="123">
                  <c:v>3.7199758581959972</c:v>
                </c:pt>
                <c:pt idx="124">
                  <c:v>3.7196169685625522</c:v>
                </c:pt>
                <c:pt idx="125">
                  <c:v>3.7192576542523463</c:v>
                </c:pt>
                <c:pt idx="126">
                  <c:v>3.7189002842086114</c:v>
                </c:pt>
                <c:pt idx="127">
                  <c:v>3.7185429141648769</c:v>
                </c:pt>
                <c:pt idx="128">
                  <c:v>3.718185544121142</c:v>
                </c:pt>
                <c:pt idx="129">
                  <c:v>3.7037638818758727</c:v>
                </c:pt>
                <c:pt idx="130">
                  <c:v>3.7031605777251295</c:v>
                </c:pt>
                <c:pt idx="131">
                  <c:v>3.7025556205761418</c:v>
                </c:pt>
                <c:pt idx="132">
                  <c:v>3.7019490879934942</c:v>
                </c:pt>
                <c:pt idx="133">
                  <c:v>3.7013444330043628</c:v>
                </c:pt>
                <c:pt idx="134">
                  <c:v>3.7007362117327283</c:v>
                </c:pt>
                <c:pt idx="135">
                  <c:v>3.7001309214536882</c:v>
                </c:pt>
                <c:pt idx="136">
                  <c:v>3.6995220776702107</c:v>
                </c:pt>
                <c:pt idx="137">
                  <c:v>3.6989163206618403</c:v>
                </c:pt>
                <c:pt idx="138">
                  <c:v>3.6799789092439523</c:v>
                </c:pt>
                <c:pt idx="139">
                  <c:v>3.679087302453754</c:v>
                </c:pt>
                <c:pt idx="140">
                  <c:v>3.6781963247430256</c:v>
                </c:pt>
                <c:pt idx="141">
                  <c:v>3.6773013625909901</c:v>
                </c:pt>
                <c:pt idx="142">
                  <c:v>3.6764093299051703</c:v>
                </c:pt>
                <c:pt idx="143">
                  <c:v>3.6755111883604985</c:v>
                </c:pt>
                <c:pt idx="144">
                  <c:v>3.6746180981952015</c:v>
                </c:pt>
                <c:pt idx="145">
                  <c:v>3.6536018779169419</c:v>
                </c:pt>
                <c:pt idx="146">
                  <c:v>3.6525514077551788</c:v>
                </c:pt>
                <c:pt idx="147">
                  <c:v>3.6515019788242187</c:v>
                </c:pt>
                <c:pt idx="148">
                  <c:v>3.6504441648368049</c:v>
                </c:pt>
                <c:pt idx="149">
                  <c:v>3.6493923088949094</c:v>
                </c:pt>
                <c:pt idx="150">
                  <c:v>3.6295677742551589</c:v>
                </c:pt>
                <c:pt idx="151">
                  <c:v>3.628232757163635</c:v>
                </c:pt>
                <c:pt idx="152">
                  <c:v>3.6268866867707881</c:v>
                </c:pt>
                <c:pt idx="153">
                  <c:v>3.6255327185563559</c:v>
                </c:pt>
                <c:pt idx="154">
                  <c:v>3.6062803463075888</c:v>
                </c:pt>
                <c:pt idx="155">
                  <c:v>3.6038816346193134</c:v>
                </c:pt>
                <c:pt idx="156">
                  <c:v>3.6014886213103106</c:v>
                </c:pt>
                <c:pt idx="157">
                  <c:v>3.599063290759593</c:v>
                </c:pt>
                <c:pt idx="158">
                  <c:v>3.5751076626948426</c:v>
                </c:pt>
                <c:pt idx="159">
                  <c:v>3.5706724331373376</c:v>
                </c:pt>
                <c:pt idx="160">
                  <c:v>3.5662062065809557</c:v>
                </c:pt>
                <c:pt idx="161">
                  <c:v>3.5617648007728993</c:v>
                </c:pt>
                <c:pt idx="162">
                  <c:v>3.5336946890194074</c:v>
                </c:pt>
                <c:pt idx="163">
                  <c:v>3.5269520376074603</c:v>
                </c:pt>
                <c:pt idx="164">
                  <c:v>3.4964256309887412</c:v>
                </c:pt>
                <c:pt idx="165">
                  <c:v>3.4810314446084849</c:v>
                </c:pt>
                <c:pt idx="166">
                  <c:v>3.4452661204337556</c:v>
                </c:pt>
                <c:pt idx="167">
                  <c:v>3.3780744356500221</c:v>
                </c:pt>
                <c:pt idx="168">
                  <c:v>3.4277462149333848</c:v>
                </c:pt>
                <c:pt idx="169">
                  <c:v>3.4803087019314796</c:v>
                </c:pt>
                <c:pt idx="170">
                  <c:v>3.3650003619242885</c:v>
                </c:pt>
                <c:pt idx="171">
                  <c:v>3.3110368364953193</c:v>
                </c:pt>
                <c:pt idx="172">
                  <c:v>3.2463967002534777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F0-4A21-A58A-8D6B2C2289EF}"/>
            </c:ext>
          </c:extLst>
        </c:ser>
        <c:ser>
          <c:idx val="2"/>
          <c:order val="2"/>
          <c:tx>
            <c:strRef>
              <c:f>Model!$F$1:$F$2</c:f>
              <c:strCache>
                <c:ptCount val="2"/>
                <c:pt idx="0">
                  <c:v>Regulated Voltage</c:v>
                </c:pt>
                <c:pt idx="1">
                  <c:v>V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Model!$A$3:$A$183</c:f>
              <c:numCache>
                <c:formatCode>General</c:formatCode>
                <c:ptCount val="18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</c:numCache>
            </c:numRef>
          </c:xVal>
          <c:yVal>
            <c:numRef>
              <c:f>Model!$F$3:$F$183</c:f>
              <c:numCache>
                <c:formatCode>General</c:formatCode>
                <c:ptCount val="181"/>
                <c:pt idx="0">
                  <c:v>3.5750000000000002</c:v>
                </c:pt>
                <c:pt idx="1">
                  <c:v>3.5750000000000002</c:v>
                </c:pt>
                <c:pt idx="2">
                  <c:v>3.5750000000000002</c:v>
                </c:pt>
                <c:pt idx="3">
                  <c:v>3.5750000000000002</c:v>
                </c:pt>
                <c:pt idx="4">
                  <c:v>3.5750000000000002</c:v>
                </c:pt>
                <c:pt idx="5">
                  <c:v>3.5750000000000002</c:v>
                </c:pt>
                <c:pt idx="6">
                  <c:v>3.5750000000000002</c:v>
                </c:pt>
                <c:pt idx="7">
                  <c:v>3.5750000000000002</c:v>
                </c:pt>
                <c:pt idx="8">
                  <c:v>3.5750000000000002</c:v>
                </c:pt>
                <c:pt idx="9">
                  <c:v>3.5750000000000002</c:v>
                </c:pt>
                <c:pt idx="10">
                  <c:v>3.5750000000000002</c:v>
                </c:pt>
                <c:pt idx="11">
                  <c:v>3.5750000000000002</c:v>
                </c:pt>
                <c:pt idx="12">
                  <c:v>3.5750000000000002</c:v>
                </c:pt>
                <c:pt idx="13">
                  <c:v>3.5750000000000002</c:v>
                </c:pt>
                <c:pt idx="14">
                  <c:v>3.5750000000000002</c:v>
                </c:pt>
                <c:pt idx="15">
                  <c:v>3.5750000000000002</c:v>
                </c:pt>
                <c:pt idx="16">
                  <c:v>3.5750000000000002</c:v>
                </c:pt>
                <c:pt idx="17">
                  <c:v>3.5750000000000002</c:v>
                </c:pt>
                <c:pt idx="18">
                  <c:v>3.5750000000000002</c:v>
                </c:pt>
                <c:pt idx="19">
                  <c:v>3.5750000000000002</c:v>
                </c:pt>
                <c:pt idx="20">
                  <c:v>3.5750000000000002</c:v>
                </c:pt>
                <c:pt idx="21">
                  <c:v>3.5750000000000002</c:v>
                </c:pt>
                <c:pt idx="22">
                  <c:v>3.5750000000000002</c:v>
                </c:pt>
                <c:pt idx="23">
                  <c:v>3.5750000000000002</c:v>
                </c:pt>
                <c:pt idx="24">
                  <c:v>3.5750000000000002</c:v>
                </c:pt>
                <c:pt idx="25">
                  <c:v>3.5750000000000002</c:v>
                </c:pt>
                <c:pt idx="26">
                  <c:v>3.5750000000000002</c:v>
                </c:pt>
                <c:pt idx="27">
                  <c:v>3.5750000000000002</c:v>
                </c:pt>
                <c:pt idx="28">
                  <c:v>3.5750000000000002</c:v>
                </c:pt>
                <c:pt idx="29">
                  <c:v>3.5750000000000002</c:v>
                </c:pt>
                <c:pt idx="30">
                  <c:v>3.5750000000000002</c:v>
                </c:pt>
                <c:pt idx="31">
                  <c:v>3.5750000000000002</c:v>
                </c:pt>
                <c:pt idx="32">
                  <c:v>3.5750000000000002</c:v>
                </c:pt>
                <c:pt idx="33">
                  <c:v>3.5750000000000002</c:v>
                </c:pt>
                <c:pt idx="34">
                  <c:v>3.5750000000000002</c:v>
                </c:pt>
                <c:pt idx="35">
                  <c:v>3.5750000000000002</c:v>
                </c:pt>
                <c:pt idx="36">
                  <c:v>3.5750000000000002</c:v>
                </c:pt>
                <c:pt idx="37">
                  <c:v>3.5750000000000002</c:v>
                </c:pt>
                <c:pt idx="38">
                  <c:v>3.5750000000000002</c:v>
                </c:pt>
                <c:pt idx="39">
                  <c:v>3.5750000000000002</c:v>
                </c:pt>
                <c:pt idx="40">
                  <c:v>3.5750000000000002</c:v>
                </c:pt>
                <c:pt idx="41">
                  <c:v>3.5750000000000002</c:v>
                </c:pt>
                <c:pt idx="42">
                  <c:v>3.5750000000000002</c:v>
                </c:pt>
                <c:pt idx="43">
                  <c:v>3.5750000000000002</c:v>
                </c:pt>
                <c:pt idx="44">
                  <c:v>3.5750000000000002</c:v>
                </c:pt>
                <c:pt idx="45">
                  <c:v>3.5750000000000002</c:v>
                </c:pt>
                <c:pt idx="46">
                  <c:v>3.5750000000000002</c:v>
                </c:pt>
                <c:pt idx="47">
                  <c:v>3.5750000000000002</c:v>
                </c:pt>
                <c:pt idx="48">
                  <c:v>3.5750000000000002</c:v>
                </c:pt>
                <c:pt idx="49">
                  <c:v>3.5750000000000002</c:v>
                </c:pt>
                <c:pt idx="50">
                  <c:v>3.5750000000000002</c:v>
                </c:pt>
                <c:pt idx="51">
                  <c:v>3.5750000000000002</c:v>
                </c:pt>
                <c:pt idx="52">
                  <c:v>3.5750000000000002</c:v>
                </c:pt>
                <c:pt idx="53">
                  <c:v>3.5750000000000002</c:v>
                </c:pt>
                <c:pt idx="54">
                  <c:v>3.5750000000000002</c:v>
                </c:pt>
                <c:pt idx="55">
                  <c:v>3.5750000000000002</c:v>
                </c:pt>
                <c:pt idx="56">
                  <c:v>3.5750000000000002</c:v>
                </c:pt>
                <c:pt idx="57">
                  <c:v>3.5750000000000002</c:v>
                </c:pt>
                <c:pt idx="58">
                  <c:v>3.5750000000000002</c:v>
                </c:pt>
                <c:pt idx="59">
                  <c:v>3.5750000000000002</c:v>
                </c:pt>
                <c:pt idx="60">
                  <c:v>3.5750000000000002</c:v>
                </c:pt>
                <c:pt idx="61">
                  <c:v>3.5750000000000002</c:v>
                </c:pt>
                <c:pt idx="62">
                  <c:v>3.5750000000000002</c:v>
                </c:pt>
                <c:pt idx="63">
                  <c:v>3.5750000000000002</c:v>
                </c:pt>
                <c:pt idx="64">
                  <c:v>3.5750000000000002</c:v>
                </c:pt>
                <c:pt idx="65">
                  <c:v>3.5750000000000002</c:v>
                </c:pt>
                <c:pt idx="66">
                  <c:v>3.5750000000000002</c:v>
                </c:pt>
                <c:pt idx="67">
                  <c:v>3.5750000000000002</c:v>
                </c:pt>
                <c:pt idx="68">
                  <c:v>3.5750000000000002</c:v>
                </c:pt>
                <c:pt idx="69">
                  <c:v>3.5750000000000002</c:v>
                </c:pt>
                <c:pt idx="70">
                  <c:v>3.5750000000000002</c:v>
                </c:pt>
                <c:pt idx="71">
                  <c:v>3.5750000000000002</c:v>
                </c:pt>
                <c:pt idx="72">
                  <c:v>3.5750000000000002</c:v>
                </c:pt>
                <c:pt idx="73">
                  <c:v>3.5750000000000002</c:v>
                </c:pt>
                <c:pt idx="74">
                  <c:v>3.5750000000000002</c:v>
                </c:pt>
                <c:pt idx="75">
                  <c:v>3.5750000000000002</c:v>
                </c:pt>
                <c:pt idx="76">
                  <c:v>3.5750000000000002</c:v>
                </c:pt>
                <c:pt idx="77">
                  <c:v>3.5750000000000002</c:v>
                </c:pt>
                <c:pt idx="78">
                  <c:v>3.5750000000000002</c:v>
                </c:pt>
                <c:pt idx="79">
                  <c:v>3.5750000000000002</c:v>
                </c:pt>
                <c:pt idx="80">
                  <c:v>3.5750000000000002</c:v>
                </c:pt>
                <c:pt idx="81">
                  <c:v>3.5750000000000002</c:v>
                </c:pt>
                <c:pt idx="82">
                  <c:v>3.5750000000000002</c:v>
                </c:pt>
                <c:pt idx="83">
                  <c:v>3.5750000000000002</c:v>
                </c:pt>
                <c:pt idx="84">
                  <c:v>3.5750000000000002</c:v>
                </c:pt>
                <c:pt idx="85">
                  <c:v>3.5750000000000002</c:v>
                </c:pt>
                <c:pt idx="86">
                  <c:v>3.5750000000000002</c:v>
                </c:pt>
                <c:pt idx="87">
                  <c:v>3.5750000000000002</c:v>
                </c:pt>
                <c:pt idx="88">
                  <c:v>3.5750000000000002</c:v>
                </c:pt>
                <c:pt idx="89">
                  <c:v>3.5750000000000002</c:v>
                </c:pt>
                <c:pt idx="90">
                  <c:v>3.5750000000000002</c:v>
                </c:pt>
                <c:pt idx="91">
                  <c:v>3.5750000000000002</c:v>
                </c:pt>
                <c:pt idx="92">
                  <c:v>3.5750000000000002</c:v>
                </c:pt>
                <c:pt idx="93">
                  <c:v>3.5750000000000002</c:v>
                </c:pt>
                <c:pt idx="94">
                  <c:v>3.5750000000000002</c:v>
                </c:pt>
                <c:pt idx="95">
                  <c:v>3.5750000000000002</c:v>
                </c:pt>
                <c:pt idx="96">
                  <c:v>3.5750000000000002</c:v>
                </c:pt>
                <c:pt idx="97">
                  <c:v>3.5750000000000002</c:v>
                </c:pt>
                <c:pt idx="98">
                  <c:v>3.5750000000000002</c:v>
                </c:pt>
                <c:pt idx="99">
                  <c:v>3.5750000000000002</c:v>
                </c:pt>
                <c:pt idx="100">
                  <c:v>3.5750000000000002</c:v>
                </c:pt>
                <c:pt idx="101">
                  <c:v>3.5750000000000002</c:v>
                </c:pt>
                <c:pt idx="102">
                  <c:v>3.5750000000000002</c:v>
                </c:pt>
                <c:pt idx="103">
                  <c:v>3.5750000000000002</c:v>
                </c:pt>
                <c:pt idx="104">
                  <c:v>3.5750000000000002</c:v>
                </c:pt>
                <c:pt idx="105">
                  <c:v>3.5750000000000002</c:v>
                </c:pt>
                <c:pt idx="106">
                  <c:v>3.5750000000000002</c:v>
                </c:pt>
                <c:pt idx="107">
                  <c:v>3.5750000000000002</c:v>
                </c:pt>
                <c:pt idx="108">
                  <c:v>3.5750000000000002</c:v>
                </c:pt>
                <c:pt idx="109">
                  <c:v>3.5750000000000002</c:v>
                </c:pt>
                <c:pt idx="110">
                  <c:v>3.5750000000000002</c:v>
                </c:pt>
                <c:pt idx="111">
                  <c:v>3.5750000000000002</c:v>
                </c:pt>
                <c:pt idx="112">
                  <c:v>3.5750000000000002</c:v>
                </c:pt>
                <c:pt idx="113">
                  <c:v>3.5750000000000002</c:v>
                </c:pt>
                <c:pt idx="114">
                  <c:v>3.5750000000000002</c:v>
                </c:pt>
                <c:pt idx="115">
                  <c:v>3.5750000000000002</c:v>
                </c:pt>
                <c:pt idx="116">
                  <c:v>3.5750000000000002</c:v>
                </c:pt>
                <c:pt idx="117">
                  <c:v>3.5750000000000002</c:v>
                </c:pt>
                <c:pt idx="118">
                  <c:v>3.5750000000000002</c:v>
                </c:pt>
                <c:pt idx="119">
                  <c:v>3.5750000000000002</c:v>
                </c:pt>
                <c:pt idx="120">
                  <c:v>3.5750000000000002</c:v>
                </c:pt>
                <c:pt idx="121">
                  <c:v>3.5750000000000002</c:v>
                </c:pt>
                <c:pt idx="122">
                  <c:v>3.5750000000000002</c:v>
                </c:pt>
                <c:pt idx="123">
                  <c:v>3.5750000000000002</c:v>
                </c:pt>
                <c:pt idx="124">
                  <c:v>3.5750000000000002</c:v>
                </c:pt>
                <c:pt idx="125">
                  <c:v>3.5750000000000002</c:v>
                </c:pt>
                <c:pt idx="126">
                  <c:v>3.5750000000000002</c:v>
                </c:pt>
                <c:pt idx="127">
                  <c:v>3.5750000000000002</c:v>
                </c:pt>
                <c:pt idx="128">
                  <c:v>3.5750000000000002</c:v>
                </c:pt>
                <c:pt idx="129">
                  <c:v>3.5750000000000002</c:v>
                </c:pt>
                <c:pt idx="130">
                  <c:v>3.5750000000000002</c:v>
                </c:pt>
                <c:pt idx="131">
                  <c:v>3.5750000000000002</c:v>
                </c:pt>
                <c:pt idx="132">
                  <c:v>3.5750000000000002</c:v>
                </c:pt>
                <c:pt idx="133">
                  <c:v>3.5750000000000002</c:v>
                </c:pt>
                <c:pt idx="134">
                  <c:v>3.5750000000000002</c:v>
                </c:pt>
                <c:pt idx="135">
                  <c:v>3.5750000000000002</c:v>
                </c:pt>
                <c:pt idx="136">
                  <c:v>3.5750000000000002</c:v>
                </c:pt>
                <c:pt idx="137">
                  <c:v>3.5750000000000002</c:v>
                </c:pt>
                <c:pt idx="138">
                  <c:v>3.5750000000000002</c:v>
                </c:pt>
                <c:pt idx="139">
                  <c:v>3.5750000000000002</c:v>
                </c:pt>
                <c:pt idx="140">
                  <c:v>3.5750000000000002</c:v>
                </c:pt>
                <c:pt idx="141">
                  <c:v>3.5750000000000002</c:v>
                </c:pt>
                <c:pt idx="142">
                  <c:v>3.5750000000000002</c:v>
                </c:pt>
                <c:pt idx="143">
                  <c:v>3.5750000000000002</c:v>
                </c:pt>
                <c:pt idx="144">
                  <c:v>3.5750000000000002</c:v>
                </c:pt>
                <c:pt idx="145">
                  <c:v>3.5750000000000002</c:v>
                </c:pt>
                <c:pt idx="146">
                  <c:v>3.5750000000000002</c:v>
                </c:pt>
                <c:pt idx="147">
                  <c:v>3.5750000000000002</c:v>
                </c:pt>
                <c:pt idx="148">
                  <c:v>3.5750000000000002</c:v>
                </c:pt>
                <c:pt idx="149">
                  <c:v>3.5750000000000002</c:v>
                </c:pt>
                <c:pt idx="150">
                  <c:v>3.5745677742551591</c:v>
                </c:pt>
                <c:pt idx="151">
                  <c:v>3.5732327571636353</c:v>
                </c:pt>
                <c:pt idx="152">
                  <c:v>3.5718866867707884</c:v>
                </c:pt>
                <c:pt idx="153">
                  <c:v>3.5705327185563562</c:v>
                </c:pt>
                <c:pt idx="154">
                  <c:v>3.551280346307589</c:v>
                </c:pt>
                <c:pt idx="155">
                  <c:v>3.5488816346193137</c:v>
                </c:pt>
                <c:pt idx="156">
                  <c:v>3.5464886213103108</c:v>
                </c:pt>
                <c:pt idx="157">
                  <c:v>3.5440632907595933</c:v>
                </c:pt>
                <c:pt idx="158">
                  <c:v>3.5201076626948429</c:v>
                </c:pt>
                <c:pt idx="159">
                  <c:v>3.5156724331373379</c:v>
                </c:pt>
                <c:pt idx="160">
                  <c:v>3.5112062065809559</c:v>
                </c:pt>
                <c:pt idx="161">
                  <c:v>3.5067648007728995</c:v>
                </c:pt>
                <c:pt idx="162">
                  <c:v>3.4786946890194077</c:v>
                </c:pt>
                <c:pt idx="163">
                  <c:v>3.4719520376074606</c:v>
                </c:pt>
                <c:pt idx="164">
                  <c:v>3.4414256309887414</c:v>
                </c:pt>
                <c:pt idx="165">
                  <c:v>3.4260314446084852</c:v>
                </c:pt>
                <c:pt idx="166">
                  <c:v>3.3902661204337559</c:v>
                </c:pt>
                <c:pt idx="167">
                  <c:v>3.3230744356500224</c:v>
                </c:pt>
                <c:pt idx="168">
                  <c:v>3.3727462149333851</c:v>
                </c:pt>
                <c:pt idx="169">
                  <c:v>3.4253087019314798</c:v>
                </c:pt>
                <c:pt idx="170">
                  <c:v>3.3100003619242888</c:v>
                </c:pt>
                <c:pt idx="171">
                  <c:v>3.2560368364953196</c:v>
                </c:pt>
                <c:pt idx="172">
                  <c:v>3.191396700253478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9F0-4A21-A58A-8D6B2C228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719680"/>
        <c:axId val="252720640"/>
      </c:scatterChart>
      <c:valAx>
        <c:axId val="2483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198880"/>
        <c:crosses val="autoZero"/>
        <c:crossBetween val="midCat"/>
      </c:valAx>
      <c:valAx>
        <c:axId val="187819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(mA) / Capacity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30240"/>
        <c:crosses val="autoZero"/>
        <c:crossBetween val="midCat"/>
      </c:valAx>
      <c:valAx>
        <c:axId val="2527206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719680"/>
        <c:crosses val="max"/>
        <c:crossBetween val="midCat"/>
      </c:valAx>
      <c:valAx>
        <c:axId val="252719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2720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239076</xdr:colOff>
      <xdr:row>1</xdr:row>
      <xdr:rowOff>105726</xdr:rowOff>
    </xdr:from>
    <xdr:to>
      <xdr:col>23</xdr:col>
      <xdr:colOff>133349</xdr:colOff>
      <xdr:row>29</xdr:row>
      <xdr:rowOff>3809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BFE032-2DC3-B1D7-9E6C-E2DD879FD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14</xdr:row>
      <xdr:rowOff>11430</xdr:rowOff>
    </xdr:from>
    <xdr:to>
      <xdr:col>16</xdr:col>
      <xdr:colOff>381000</xdr:colOff>
      <xdr:row>29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CC48F5-415F-0BF6-1D90-F43FFCE7A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434340</xdr:colOff>
      <xdr:row>20</xdr:row>
      <xdr:rowOff>41910</xdr:rowOff>
    </xdr:from>
    <xdr:to>
      <xdr:col>9</xdr:col>
      <xdr:colOff>0</xdr:colOff>
      <xdr:row>35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08EA75-572E-A781-7CF8-C9544C783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60960</xdr:colOff>
      <xdr:row>5</xdr:row>
      <xdr:rowOff>133350</xdr:rowOff>
    </xdr:from>
    <xdr:to>
      <xdr:col>25</xdr:col>
      <xdr:colOff>365760</xdr:colOff>
      <xdr:row>20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301E07-2132-8755-E99F-51498CED9E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483870</xdr:colOff>
      <xdr:row>11</xdr:row>
      <xdr:rowOff>140970</xdr:rowOff>
    </xdr:from>
    <xdr:to>
      <xdr:col>24</xdr:col>
      <xdr:colOff>331470</xdr:colOff>
      <xdr:row>33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43980A-5B3C-596B-CEB1-EF1192F8D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CBCC-BEF9-4872-8A10-204FA50D3118}">
  <dimension ref="A1:C41"/>
  <sheetViews>
    <sheetView workbookViewId="0">
      <selection activeCell="D19" sqref="D19"/>
    </sheetView>
  </sheetViews>
  <sheetFormatPr defaultRowHeight="14.4" x14ac:dyDescent="0.3"/>
  <sheetData>
    <row r="1" spans="1:3" x14ac:dyDescent="0.3">
      <c r="A1" t="s">
        <v>14</v>
      </c>
      <c r="B1" t="s">
        <v>0</v>
      </c>
      <c r="C1" t="s">
        <v>1</v>
      </c>
    </row>
    <row r="2" spans="1:3" x14ac:dyDescent="0.3">
      <c r="A2">
        <v>0</v>
      </c>
      <c r="B2">
        <f t="shared" ref="B2:B41" si="0">100-A2</f>
        <v>100</v>
      </c>
      <c r="C2">
        <v>4.2</v>
      </c>
    </row>
    <row r="3" spans="1:3" x14ac:dyDescent="0.3">
      <c r="A3">
        <v>0.1</v>
      </c>
      <c r="B3">
        <f t="shared" si="0"/>
        <v>99.9</v>
      </c>
      <c r="C3">
        <v>4.1900000000000004</v>
      </c>
    </row>
    <row r="4" spans="1:3" x14ac:dyDescent="0.3">
      <c r="A4">
        <v>0.363636373724819</v>
      </c>
      <c r="B4">
        <f t="shared" si="0"/>
        <v>99.636363626275184</v>
      </c>
      <c r="C4">
        <v>4.1577653828300001</v>
      </c>
    </row>
    <row r="5" spans="1:3" x14ac:dyDescent="0.3">
      <c r="A5">
        <v>1.0909091211744599</v>
      </c>
      <c r="B5">
        <f t="shared" si="0"/>
        <v>98.909090878825538</v>
      </c>
      <c r="C5">
        <v>4.1389943623039001</v>
      </c>
    </row>
    <row r="6" spans="1:3" x14ac:dyDescent="0.3">
      <c r="A6">
        <v>1.9636369729790899</v>
      </c>
      <c r="B6">
        <f t="shared" si="0"/>
        <v>98.036363027020911</v>
      </c>
      <c r="C6">
        <v>4.1233519048700602</v>
      </c>
    </row>
    <row r="7" spans="1:3" x14ac:dyDescent="0.3">
      <c r="A7">
        <v>2.69090972042873</v>
      </c>
      <c r="B7">
        <f t="shared" si="0"/>
        <v>97.309090279571265</v>
      </c>
      <c r="C7">
        <v>4.1155306761531403</v>
      </c>
    </row>
    <row r="8" spans="1:3" x14ac:dyDescent="0.3">
      <c r="A8">
        <v>3.6363637372481898</v>
      </c>
      <c r="B8">
        <f t="shared" si="0"/>
        <v>96.363636262751811</v>
      </c>
      <c r="C8">
        <v>4.1030167818115499</v>
      </c>
    </row>
    <row r="9" spans="1:3" x14ac:dyDescent="0.3">
      <c r="A9">
        <v>5.2363643365024704</v>
      </c>
      <c r="B9">
        <f t="shared" si="0"/>
        <v>94.763635663497524</v>
      </c>
      <c r="C9">
        <v>4.0842457612854597</v>
      </c>
    </row>
    <row r="10" spans="1:3" x14ac:dyDescent="0.3">
      <c r="A10">
        <v>9.2363644474754807</v>
      </c>
      <c r="B10">
        <f t="shared" si="0"/>
        <v>90.763635552524519</v>
      </c>
      <c r="C10">
        <v>4.0420112037867</v>
      </c>
    </row>
    <row r="11" spans="1:3" x14ac:dyDescent="0.3">
      <c r="A11">
        <v>12.6545441410285</v>
      </c>
      <c r="B11">
        <f t="shared" si="0"/>
        <v>87.345455858971505</v>
      </c>
      <c r="C11">
        <v>4.0107262889190203</v>
      </c>
    </row>
    <row r="12" spans="1:3" x14ac:dyDescent="0.3">
      <c r="A12">
        <v>16.290907878276599</v>
      </c>
      <c r="B12">
        <f t="shared" si="0"/>
        <v>83.709092121723401</v>
      </c>
      <c r="C12">
        <v>3.9747485890841898</v>
      </c>
    </row>
    <row r="13" spans="1:3" x14ac:dyDescent="0.3">
      <c r="A13">
        <v>20.000003329190399</v>
      </c>
      <c r="B13">
        <f t="shared" si="0"/>
        <v>79.999996670809594</v>
      </c>
      <c r="C13">
        <v>3.9434636742165101</v>
      </c>
    </row>
    <row r="14" spans="1:3" x14ac:dyDescent="0.3">
      <c r="A14">
        <v>24.363639813888199</v>
      </c>
      <c r="B14">
        <f t="shared" si="0"/>
        <v>75.636360186111801</v>
      </c>
      <c r="C14">
        <v>3.91217875934883</v>
      </c>
    </row>
    <row r="15" spans="1:3" x14ac:dyDescent="0.3">
      <c r="A15">
        <v>28.654544584920501</v>
      </c>
      <c r="B15">
        <f t="shared" si="0"/>
        <v>71.345455415079499</v>
      </c>
      <c r="C15">
        <v>3.8762011191852399</v>
      </c>
    </row>
    <row r="16" spans="1:3" x14ac:dyDescent="0.3">
      <c r="A16">
        <v>33.454549157008699</v>
      </c>
      <c r="B16">
        <f t="shared" si="0"/>
        <v>66.545450842991301</v>
      </c>
      <c r="C16">
        <v>3.8464804858636898</v>
      </c>
    </row>
    <row r="17" spans="1:3" x14ac:dyDescent="0.3">
      <c r="A17">
        <v>38.690910719185801</v>
      </c>
      <c r="B17">
        <f t="shared" si="0"/>
        <v>61.309089280814199</v>
      </c>
      <c r="C17">
        <v>3.8183240147457802</v>
      </c>
    </row>
    <row r="18" spans="1:3" x14ac:dyDescent="0.3">
      <c r="A18">
        <v>44.363640368753302</v>
      </c>
      <c r="B18">
        <f t="shared" si="0"/>
        <v>55.636359631246698</v>
      </c>
      <c r="C18">
        <v>3.7917318848452402</v>
      </c>
    </row>
    <row r="19" spans="1:3" x14ac:dyDescent="0.3">
      <c r="A19">
        <v>49.745454260960003</v>
      </c>
      <c r="B19">
        <f t="shared" si="0"/>
        <v>50.254545739039997</v>
      </c>
      <c r="C19">
        <v>3.7713966424442602</v>
      </c>
    </row>
    <row r="20" spans="1:3" x14ac:dyDescent="0.3">
      <c r="A20">
        <v>56.290914536657503</v>
      </c>
      <c r="B20">
        <f t="shared" si="0"/>
        <v>43.709085463342497</v>
      </c>
      <c r="C20">
        <v>3.75106145971451</v>
      </c>
    </row>
    <row r="21" spans="1:3" x14ac:dyDescent="0.3">
      <c r="A21">
        <v>63.200005637429101</v>
      </c>
      <c r="B21">
        <f t="shared" si="0"/>
        <v>36.799994362570899</v>
      </c>
      <c r="C21">
        <v>3.7354190022806701</v>
      </c>
    </row>
    <row r="22" spans="1:3" x14ac:dyDescent="0.3">
      <c r="A22">
        <v>68.654551243301398</v>
      </c>
      <c r="B22">
        <f t="shared" si="0"/>
        <v>31.345448756698602</v>
      </c>
      <c r="C22">
        <v>3.7213408263929599</v>
      </c>
    </row>
    <row r="23" spans="1:3" x14ac:dyDescent="0.3">
      <c r="A23">
        <v>73.963644519144097</v>
      </c>
      <c r="B23">
        <f t="shared" si="0"/>
        <v>26.036355480855903</v>
      </c>
      <c r="C23">
        <v>3.70413408741299</v>
      </c>
    </row>
    <row r="24" spans="1:3" x14ac:dyDescent="0.3">
      <c r="A24">
        <v>79.054553751291493</v>
      </c>
      <c r="B24">
        <f t="shared" si="0"/>
        <v>20.945446248708507</v>
      </c>
      <c r="C24">
        <v>3.6806704012622302</v>
      </c>
    </row>
    <row r="25" spans="1:3" x14ac:dyDescent="0.3">
      <c r="A25">
        <v>83.272726808658305</v>
      </c>
      <c r="B25">
        <f t="shared" si="0"/>
        <v>16.727273191341695</v>
      </c>
      <c r="C25">
        <v>3.6540782116904502</v>
      </c>
    </row>
    <row r="26" spans="1:3" x14ac:dyDescent="0.3">
      <c r="A26">
        <v>85.963644852063098</v>
      </c>
      <c r="B26">
        <f t="shared" si="0"/>
        <v>14.036355147936902</v>
      </c>
      <c r="C26">
        <v>3.63061452553969</v>
      </c>
    </row>
    <row r="27" spans="1:3" x14ac:dyDescent="0.3">
      <c r="A27">
        <v>88.509099468136796</v>
      </c>
      <c r="B27">
        <f t="shared" si="0"/>
        <v>11.490900531863204</v>
      </c>
      <c r="C27">
        <v>3.6071508393889302</v>
      </c>
    </row>
    <row r="28" spans="1:3" x14ac:dyDescent="0.3">
      <c r="A28">
        <v>88.509099468136796</v>
      </c>
      <c r="B28">
        <f t="shared" si="0"/>
        <v>11.490900531863204</v>
      </c>
      <c r="C28">
        <v>3.6071508393889302</v>
      </c>
    </row>
    <row r="29" spans="1:3" x14ac:dyDescent="0.3">
      <c r="A29">
        <v>90.909090656879499</v>
      </c>
      <c r="B29">
        <f t="shared" si="0"/>
        <v>9.0909093431205008</v>
      </c>
      <c r="C29">
        <v>3.57586598419249</v>
      </c>
    </row>
    <row r="30" spans="1:3" x14ac:dyDescent="0.3">
      <c r="A30">
        <v>93.018188282864301</v>
      </c>
      <c r="B30">
        <f t="shared" si="0"/>
        <v>6.9818117171356988</v>
      </c>
      <c r="C30">
        <v>3.5367598406078899</v>
      </c>
    </row>
    <row r="31" spans="1:3" x14ac:dyDescent="0.3">
      <c r="A31">
        <v>94.181818020402801</v>
      </c>
      <c r="B31">
        <f t="shared" si="0"/>
        <v>5.818181979597199</v>
      </c>
      <c r="C31">
        <v>3.5023463626479501</v>
      </c>
    </row>
    <row r="32" spans="1:3" x14ac:dyDescent="0.3">
      <c r="A32">
        <v>95.4181905689084</v>
      </c>
      <c r="B32">
        <f t="shared" si="0"/>
        <v>4.5818094310915995</v>
      </c>
      <c r="C32">
        <v>3.4554189903464199</v>
      </c>
    </row>
    <row r="33" spans="1:3" x14ac:dyDescent="0.3">
      <c r="A33">
        <v>96.363636262751797</v>
      </c>
      <c r="B33">
        <f t="shared" si="0"/>
        <v>3.6363637372482032</v>
      </c>
      <c r="C33">
        <v>3.4037989524202401</v>
      </c>
    </row>
    <row r="34" spans="1:3" x14ac:dyDescent="0.3">
      <c r="A34">
        <v>97.236372437532495</v>
      </c>
      <c r="B34">
        <f t="shared" si="0"/>
        <v>2.7636275624675051</v>
      </c>
      <c r="C34">
        <v>3.34905035140179</v>
      </c>
    </row>
    <row r="35" spans="1:3" x14ac:dyDescent="0.3">
      <c r="A35">
        <v>97.818181757651004</v>
      </c>
      <c r="B35">
        <f t="shared" si="0"/>
        <v>2.1818182423489958</v>
      </c>
      <c r="C35">
        <v>3.29899441600802</v>
      </c>
    </row>
    <row r="36" spans="1:3" x14ac:dyDescent="0.3">
      <c r="A36">
        <v>98.45</v>
      </c>
      <c r="B36">
        <f t="shared" si="0"/>
        <v>1.5499999999999972</v>
      </c>
      <c r="C36">
        <v>3.2395531493649101</v>
      </c>
    </row>
    <row r="37" spans="1:3" x14ac:dyDescent="0.3">
      <c r="A37">
        <v>99.054554306156604</v>
      </c>
      <c r="B37">
        <f t="shared" si="0"/>
        <v>0.94544569384339638</v>
      </c>
      <c r="C37">
        <v>3.1801117633793199</v>
      </c>
    </row>
    <row r="38" spans="1:3" x14ac:dyDescent="0.3">
      <c r="A38">
        <v>99.418190679881405</v>
      </c>
      <c r="B38">
        <f t="shared" si="0"/>
        <v>0.58180932011859454</v>
      </c>
      <c r="C38">
        <v>3.1222347186111001</v>
      </c>
    </row>
    <row r="39" spans="1:3" x14ac:dyDescent="0.3">
      <c r="A39">
        <v>99.781827053606193</v>
      </c>
      <c r="B39">
        <f t="shared" si="0"/>
        <v>0.21817294639380691</v>
      </c>
      <c r="C39">
        <v>3.0643575545004</v>
      </c>
    </row>
    <row r="40" spans="1:3" x14ac:dyDescent="0.3">
      <c r="A40">
        <v>100</v>
      </c>
      <c r="B40">
        <f t="shared" si="0"/>
        <v>0</v>
      </c>
      <c r="C40">
        <v>3</v>
      </c>
    </row>
    <row r="41" spans="1:3" x14ac:dyDescent="0.3">
      <c r="A41">
        <v>100.1</v>
      </c>
      <c r="B41">
        <f t="shared" si="0"/>
        <v>-9.9999999999994316E-2</v>
      </c>
      <c r="C41">
        <v>2.99</v>
      </c>
    </row>
  </sheetData>
  <sortState xmlns:xlrd2="http://schemas.microsoft.com/office/spreadsheetml/2017/richdata2" ref="A2:C41">
    <sortCondition ref="A2:A4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9D7C-AB0B-42E1-9C57-1473A51BA20E}">
  <dimension ref="A1:G14"/>
  <sheetViews>
    <sheetView workbookViewId="0">
      <selection activeCell="E2" sqref="E2"/>
    </sheetView>
  </sheetViews>
  <sheetFormatPr defaultRowHeight="14.4" x14ac:dyDescent="0.3"/>
  <cols>
    <col min="2" max="2" width="10.77734375" bestFit="1" customWidth="1"/>
  </cols>
  <sheetData>
    <row r="1" spans="1:7" s="1" customFormat="1" x14ac:dyDescent="0.3">
      <c r="A1" s="1" t="s">
        <v>1</v>
      </c>
      <c r="B1" s="1" t="s">
        <v>2</v>
      </c>
      <c r="F1" s="1" t="s">
        <v>1</v>
      </c>
      <c r="G1" s="1" t="s">
        <v>3</v>
      </c>
    </row>
    <row r="2" spans="1:7" x14ac:dyDescent="0.3">
      <c r="A2">
        <v>4.29</v>
      </c>
      <c r="B2">
        <v>102.3</v>
      </c>
      <c r="F2">
        <v>3.51</v>
      </c>
      <c r="G2">
        <v>117.8</v>
      </c>
    </row>
    <row r="3" spans="1:7" x14ac:dyDescent="0.3">
      <c r="A3">
        <v>4.1900000000000004</v>
      </c>
      <c r="B3">
        <v>100.3</v>
      </c>
      <c r="F3">
        <v>3.56</v>
      </c>
      <c r="G3">
        <v>119.8</v>
      </c>
    </row>
    <row r="4" spans="1:7" x14ac:dyDescent="0.3">
      <c r="A4">
        <v>4.09</v>
      </c>
      <c r="B4">
        <v>98.2</v>
      </c>
      <c r="F4">
        <v>3.66</v>
      </c>
      <c r="G4">
        <v>123.3</v>
      </c>
    </row>
    <row r="5" spans="1:7" x14ac:dyDescent="0.3">
      <c r="A5">
        <v>3.99</v>
      </c>
      <c r="B5">
        <v>95.9</v>
      </c>
      <c r="F5">
        <v>3.76</v>
      </c>
      <c r="G5">
        <v>126.6</v>
      </c>
    </row>
    <row r="6" spans="1:7" x14ac:dyDescent="0.3">
      <c r="A6">
        <v>3.9</v>
      </c>
      <c r="B6">
        <v>93.6</v>
      </c>
      <c r="F6">
        <v>3.85</v>
      </c>
      <c r="G6">
        <v>130</v>
      </c>
    </row>
    <row r="7" spans="1:7" x14ac:dyDescent="0.3">
      <c r="A7">
        <v>3.8</v>
      </c>
      <c r="B7">
        <v>91.3</v>
      </c>
      <c r="F7">
        <v>3.95</v>
      </c>
      <c r="G7">
        <v>133.4</v>
      </c>
    </row>
    <row r="8" spans="1:7" x14ac:dyDescent="0.3">
      <c r="A8">
        <v>3.7</v>
      </c>
      <c r="B8">
        <v>89.1</v>
      </c>
      <c r="F8">
        <v>4.04</v>
      </c>
      <c r="G8">
        <v>136.69999999999999</v>
      </c>
    </row>
    <row r="9" spans="1:7" x14ac:dyDescent="0.3">
      <c r="A9">
        <v>3.6</v>
      </c>
      <c r="B9">
        <v>87.6</v>
      </c>
      <c r="F9">
        <v>4.1399999999999997</v>
      </c>
      <c r="G9">
        <v>140.1</v>
      </c>
    </row>
    <row r="10" spans="1:7" x14ac:dyDescent="0.3">
      <c r="A10">
        <v>3.51</v>
      </c>
      <c r="B10">
        <v>84.4</v>
      </c>
      <c r="F10">
        <v>4.21</v>
      </c>
      <c r="G10">
        <v>142.30000000000001</v>
      </c>
    </row>
    <row r="11" spans="1:7" x14ac:dyDescent="0.3">
      <c r="A11">
        <v>3.46</v>
      </c>
      <c r="B11">
        <v>86.4</v>
      </c>
      <c r="C11" t="s">
        <v>5</v>
      </c>
    </row>
    <row r="12" spans="1:7" x14ac:dyDescent="0.3">
      <c r="A12">
        <v>3.41</v>
      </c>
      <c r="B12">
        <v>85.3</v>
      </c>
      <c r="C12" t="s">
        <v>5</v>
      </c>
    </row>
    <row r="13" spans="1:7" x14ac:dyDescent="0.3">
      <c r="A13">
        <v>3.31</v>
      </c>
      <c r="B13">
        <v>83</v>
      </c>
      <c r="C13" t="s">
        <v>5</v>
      </c>
    </row>
    <row r="14" spans="1:7" x14ac:dyDescent="0.3">
      <c r="A14">
        <v>3.22</v>
      </c>
      <c r="B14">
        <v>75.7</v>
      </c>
      <c r="C14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E017-8F3D-49BF-858B-83C2E3B2EE12}">
  <dimension ref="A1:S183"/>
  <sheetViews>
    <sheetView workbookViewId="0">
      <selection activeCell="O3" sqref="O3"/>
    </sheetView>
  </sheetViews>
  <sheetFormatPr defaultRowHeight="14.4" x14ac:dyDescent="0.3"/>
  <cols>
    <col min="2" max="3" width="15" bestFit="1" customWidth="1"/>
    <col min="5" max="5" width="15.109375" bestFit="1" customWidth="1"/>
    <col min="6" max="6" width="17.77734375" customWidth="1"/>
    <col min="8" max="8" width="13.88671875" customWidth="1"/>
    <col min="9" max="9" width="13.109375" customWidth="1"/>
    <col min="10" max="10" width="15.5546875" customWidth="1"/>
  </cols>
  <sheetData>
    <row r="1" spans="1:19" s="1" customFormat="1" x14ac:dyDescent="0.3">
      <c r="A1" s="1" t="s">
        <v>6</v>
      </c>
      <c r="B1" s="1" t="s">
        <v>7</v>
      </c>
      <c r="C1" s="1" t="s">
        <v>7</v>
      </c>
      <c r="D1" s="1" t="s">
        <v>15</v>
      </c>
      <c r="E1" s="1" t="s">
        <v>12</v>
      </c>
      <c r="F1" s="1" t="s">
        <v>16</v>
      </c>
      <c r="G1" s="1" t="s">
        <v>18</v>
      </c>
      <c r="H1" s="1" t="s">
        <v>11</v>
      </c>
      <c r="I1" s="1" t="s">
        <v>19</v>
      </c>
      <c r="J1" s="1" t="s">
        <v>25</v>
      </c>
      <c r="L1" s="1" t="s">
        <v>20</v>
      </c>
      <c r="M1" s="1" t="s">
        <v>21</v>
      </c>
      <c r="N1" s="1" t="s">
        <v>24</v>
      </c>
      <c r="O1" s="1" t="s">
        <v>46</v>
      </c>
      <c r="Q1" s="1" t="s">
        <v>20</v>
      </c>
      <c r="R1" s="1" t="s">
        <v>22</v>
      </c>
      <c r="S1" s="1" t="s">
        <v>53</v>
      </c>
    </row>
    <row r="2" spans="1:19" s="1" customFormat="1" x14ac:dyDescent="0.3">
      <c r="A2" s="1" t="s">
        <v>10</v>
      </c>
      <c r="B2" s="1" t="s">
        <v>8</v>
      </c>
      <c r="C2" s="1" t="s">
        <v>9</v>
      </c>
      <c r="E2" s="1" t="s">
        <v>13</v>
      </c>
      <c r="F2" s="1" t="s">
        <v>13</v>
      </c>
      <c r="H2" s="1" t="s">
        <v>17</v>
      </c>
      <c r="I2" s="1" t="s">
        <v>9</v>
      </c>
      <c r="J2" s="1" t="s">
        <v>8</v>
      </c>
      <c r="L2" s="1" t="s">
        <v>13</v>
      </c>
      <c r="M2" s="1" t="s">
        <v>13</v>
      </c>
      <c r="N2" s="1" t="s">
        <v>13</v>
      </c>
      <c r="O2" s="1" t="s">
        <v>69</v>
      </c>
      <c r="Q2" s="1" t="s">
        <v>13</v>
      </c>
      <c r="R2" s="1" t="s">
        <v>10</v>
      </c>
    </row>
    <row r="3" spans="1:19" x14ac:dyDescent="0.3">
      <c r="A3">
        <v>0</v>
      </c>
      <c r="B3">
        <v>100</v>
      </c>
      <c r="C3">
        <f>B3*1500/100</f>
        <v>1500</v>
      </c>
      <c r="D3">
        <f>MATCH(B3,Battery!B:B,-1)</f>
        <v>2</v>
      </c>
      <c r="E3" cm="1">
        <f t="array" ref="E3">INDEX(Battery!C:C,D3+1)+(INDEX(Battery!C:C,D3)-INDEX(Battery!C:C,D3+1))/(INDEX(Battery!B:B,D3)-INDEX(Battery!C:C,B3+1))*(B3-INDEX(Battery!C:C,B3+1))</f>
        <v>4.2</v>
      </c>
      <c r="F3">
        <f>MIN($L$3,E3-$M$3)-$N$3</f>
        <v>3.5750000000000002</v>
      </c>
      <c r="G3">
        <f>MATCH(F3,Load!A:A,-1)</f>
        <v>9</v>
      </c>
      <c r="H3">
        <f xml:space="preserve"> 22.6* F3+ 5.5703+$O$3*0.001</f>
        <v>86.415300000000016</v>
      </c>
      <c r="I3">
        <f t="shared" ref="I3:I34" si="0">H3*(A4-A3)</f>
        <v>8.6415300000000013</v>
      </c>
      <c r="J3">
        <f>(H3*F3)/(E3*H3)*100</f>
        <v>85.11904761904762</v>
      </c>
      <c r="L3">
        <v>3.6</v>
      </c>
      <c r="M3">
        <v>0.03</v>
      </c>
      <c r="N3">
        <v>2.5000000000000001E-2</v>
      </c>
      <c r="O3">
        <f>'Quiescent Current'!B15</f>
        <v>50</v>
      </c>
      <c r="Q3">
        <v>3.8</v>
      </c>
    </row>
    <row r="4" spans="1:19" x14ac:dyDescent="0.3">
      <c r="A4">
        <v>0.1</v>
      </c>
      <c r="B4">
        <f>C4/C$3*100</f>
        <v>99.423897999999994</v>
      </c>
      <c r="C4">
        <f t="shared" ref="C4:C35" si="1">C3-I3</f>
        <v>1491.3584699999999</v>
      </c>
      <c r="D4">
        <f>MATCH(B4,Battery!B:B,-1)</f>
        <v>4</v>
      </c>
      <c r="E4" cm="1">
        <f t="array" ref="E4">INDEX(Battery!C:C,D4+1)+(INDEX(Battery!C:C,D4)-INDEX(Battery!C:C,D4+1))/(INDEX(Battery!B:B,D4)-INDEX(Battery!C:C,B4+1))*(B4-INDEX(Battery!C:C,B4+1))</f>
        <v>4.1577253553090552</v>
      </c>
      <c r="F4">
        <f t="shared" ref="F4:F67" si="2">MIN($L$3,E4-$M$3)-$N$3</f>
        <v>3.5750000000000002</v>
      </c>
      <c r="G4">
        <f>MATCH(F4,Load!A:A,-1)</f>
        <v>9</v>
      </c>
      <c r="H4">
        <f t="shared" ref="H4:H67" si="3" xml:space="preserve"> 22.6* F4+ 5.5703+$O$3*0.001</f>
        <v>86.415300000000016</v>
      </c>
      <c r="I4">
        <f t="shared" si="0"/>
        <v>8.6415300000000013</v>
      </c>
      <c r="J4">
        <f t="shared" ref="J4:J67" si="4">(H4*F4)/(E4*H4)*100</f>
        <v>85.98451543787121</v>
      </c>
      <c r="Q4">
        <v>3.75</v>
      </c>
    </row>
    <row r="5" spans="1:19" x14ac:dyDescent="0.3">
      <c r="A5">
        <v>0.2</v>
      </c>
      <c r="B5">
        <f t="shared" ref="B5:B183" si="5">C5/C$3*100</f>
        <v>98.847795999999988</v>
      </c>
      <c r="C5">
        <f t="shared" si="1"/>
        <v>1482.7169399999998</v>
      </c>
      <c r="D5">
        <f>MATCH(B5,Battery!B:B,-1)</f>
        <v>5</v>
      </c>
      <c r="E5" cm="1">
        <f t="array" ref="E5">INDEX(Battery!C:C,D5+1)+(INDEX(Battery!C:C,D5)-INDEX(Battery!C:C,D5+1))/(INDEX(Battery!B:B,D5)-INDEX(Battery!C:C,B5+1))*(B5-INDEX(Battery!C:C,B5+1))</f>
        <v>4.1389846685282885</v>
      </c>
      <c r="F5">
        <f t="shared" si="2"/>
        <v>3.5750000000000002</v>
      </c>
      <c r="G5">
        <f>MATCH(F5,Load!A:A,-1)</f>
        <v>9</v>
      </c>
      <c r="H5">
        <f t="shared" si="3"/>
        <v>86.415300000000016</v>
      </c>
      <c r="I5">
        <f t="shared" si="0"/>
        <v>8.6415299999999995</v>
      </c>
      <c r="J5">
        <f t="shared" si="4"/>
        <v>86.373840115507704</v>
      </c>
      <c r="Q5">
        <v>3.7</v>
      </c>
    </row>
    <row r="6" spans="1:19" x14ac:dyDescent="0.3">
      <c r="A6">
        <v>0.3</v>
      </c>
      <c r="B6">
        <f t="shared" si="5"/>
        <v>98.271693999999982</v>
      </c>
      <c r="C6">
        <f t="shared" si="1"/>
        <v>1474.0754099999997</v>
      </c>
      <c r="D6">
        <f>MATCH(B6,Battery!B:B,-1)</f>
        <v>5</v>
      </c>
      <c r="E6" cm="1">
        <f t="array" ref="E6">INDEX(Battery!C:C,D6+1)+(INDEX(Battery!C:C,D6)-INDEX(Battery!C:C,D6+1))/(INDEX(Battery!B:B,D6)-INDEX(Battery!C:C,B6+1))*(B6-INDEX(Battery!C:C,B6+1))</f>
        <v>4.1388935580860382</v>
      </c>
      <c r="F6">
        <f t="shared" si="2"/>
        <v>3.5750000000000002</v>
      </c>
      <c r="G6">
        <f>MATCH(F6,Load!A:A,-1)</f>
        <v>9</v>
      </c>
      <c r="H6">
        <f t="shared" si="3"/>
        <v>86.415300000000016</v>
      </c>
      <c r="I6">
        <f t="shared" si="0"/>
        <v>8.6415300000000048</v>
      </c>
      <c r="J6">
        <f t="shared" si="4"/>
        <v>86.375741483267305</v>
      </c>
      <c r="Q6">
        <v>3.65</v>
      </c>
    </row>
    <row r="7" spans="1:19" x14ac:dyDescent="0.3">
      <c r="A7">
        <v>0.4</v>
      </c>
      <c r="B7">
        <f t="shared" si="5"/>
        <v>97.695591999999976</v>
      </c>
      <c r="C7">
        <f t="shared" si="1"/>
        <v>1465.4338799999996</v>
      </c>
      <c r="D7">
        <f>MATCH(B7,Battery!B:B,-1)</f>
        <v>6</v>
      </c>
      <c r="E7" cm="1">
        <f t="array" ref="E7">INDEX(Battery!C:C,D7+1)+(INDEX(Battery!C:C,D7)-INDEX(Battery!C:C,D7+1))/(INDEX(Battery!B:B,D7)-INDEX(Battery!C:C,B7+1))*(B7-INDEX(Battery!C:C,B7+1))</f>
        <v>4.1233247185479636</v>
      </c>
      <c r="F7">
        <f t="shared" si="2"/>
        <v>3.5750000000000002</v>
      </c>
      <c r="G7">
        <f>MATCH(F7,Load!A:A,-1)</f>
        <v>9</v>
      </c>
      <c r="H7">
        <f t="shared" si="3"/>
        <v>86.415300000000016</v>
      </c>
      <c r="I7">
        <f t="shared" si="0"/>
        <v>8.6415299999999995</v>
      </c>
      <c r="J7">
        <f t="shared" si="4"/>
        <v>86.701878799856999</v>
      </c>
      <c r="Q7" s="1">
        <v>3.6</v>
      </c>
      <c r="R7" s="1">
        <v>16.100000000000001</v>
      </c>
      <c r="S7">
        <v>8700</v>
      </c>
    </row>
    <row r="8" spans="1:19" x14ac:dyDescent="0.3">
      <c r="A8">
        <v>0.5</v>
      </c>
      <c r="B8">
        <f t="shared" si="5"/>
        <v>97.119489999999971</v>
      </c>
      <c r="C8">
        <f t="shared" si="1"/>
        <v>1456.7923499999995</v>
      </c>
      <c r="D8">
        <f>MATCH(B8,Battery!B:B,-1)</f>
        <v>7</v>
      </c>
      <c r="E8" cm="1">
        <f t="array" ref="E8">INDEX(Battery!C:C,D8+1)+(INDEX(Battery!C:C,D8)-INDEX(Battery!C:C,D8+1))/(INDEX(Battery!B:B,D8)-INDEX(Battery!C:C,B8+1))*(B8-INDEX(Battery!C:C,B8+1))</f>
        <v>4.1155062936637048</v>
      </c>
      <c r="F8">
        <f t="shared" si="2"/>
        <v>3.5750000000000002</v>
      </c>
      <c r="G8">
        <f>MATCH(F8,Load!A:A,-1)</f>
        <v>9</v>
      </c>
      <c r="H8">
        <f t="shared" si="3"/>
        <v>86.415300000000016</v>
      </c>
      <c r="I8">
        <f t="shared" si="0"/>
        <v>8.6415299999999995</v>
      </c>
      <c r="J8">
        <f t="shared" si="4"/>
        <v>86.866590521417109</v>
      </c>
      <c r="Q8">
        <v>3.55</v>
      </c>
    </row>
    <row r="9" spans="1:19" x14ac:dyDescent="0.3">
      <c r="A9">
        <v>0.6</v>
      </c>
      <c r="B9">
        <f t="shared" si="5"/>
        <v>96.543387999999965</v>
      </c>
      <c r="C9">
        <f t="shared" si="1"/>
        <v>1448.1508199999994</v>
      </c>
      <c r="D9">
        <f>MATCH(B9,Battery!B:B,-1)</f>
        <v>7</v>
      </c>
      <c r="E9" cm="1">
        <f t="array" ref="E9">INDEX(Battery!C:C,D9+1)+(INDEX(Battery!C:C,D9)-INDEX(Battery!C:C,D9+1))/(INDEX(Battery!B:B,D9)-INDEX(Battery!C:C,B9+1))*(B9-INDEX(Battery!C:C,B9+1))</f>
        <v>4.1154322072701595</v>
      </c>
      <c r="F9">
        <f t="shared" si="2"/>
        <v>3.5750000000000002</v>
      </c>
      <c r="G9">
        <f>MATCH(F9,Load!A:A,-1)</f>
        <v>9</v>
      </c>
      <c r="H9">
        <f t="shared" si="3"/>
        <v>86.415300000000016</v>
      </c>
      <c r="I9">
        <f t="shared" si="0"/>
        <v>8.6415299999999995</v>
      </c>
      <c r="J9">
        <f t="shared" si="4"/>
        <v>86.868154301862802</v>
      </c>
      <c r="Q9" t="s">
        <v>52</v>
      </c>
      <c r="R9">
        <v>15.3</v>
      </c>
    </row>
    <row r="10" spans="1:19" x14ac:dyDescent="0.3">
      <c r="A10">
        <v>0.7</v>
      </c>
      <c r="B10">
        <f t="shared" si="5"/>
        <v>95.967285999999945</v>
      </c>
      <c r="C10">
        <f t="shared" si="1"/>
        <v>1439.5092899999993</v>
      </c>
      <c r="D10">
        <f>MATCH(B10,Battery!B:B,-1)</f>
        <v>8</v>
      </c>
      <c r="E10" cm="1">
        <f t="array" ref="E10">INDEX(Battery!C:C,D10+1)+(INDEX(Battery!C:C,D10)-INDEX(Battery!C:C,D10+1))/(INDEX(Battery!B:B,D10)-INDEX(Battery!C:C,B10+1))*(B10-INDEX(Battery!C:C,B10+1))</f>
        <v>4.1029395753132674</v>
      </c>
      <c r="F10">
        <f t="shared" si="2"/>
        <v>3.5750000000000002</v>
      </c>
      <c r="G10">
        <f>MATCH(F10,Load!A:A,-1)</f>
        <v>9</v>
      </c>
      <c r="H10">
        <f t="shared" si="3"/>
        <v>86.415300000000016</v>
      </c>
      <c r="I10">
        <f t="shared" si="0"/>
        <v>8.6415300000000101</v>
      </c>
      <c r="J10">
        <f t="shared" si="4"/>
        <v>87.132650490643456</v>
      </c>
    </row>
    <row r="11" spans="1:19" x14ac:dyDescent="0.3">
      <c r="A11">
        <v>0.8</v>
      </c>
      <c r="B11">
        <f t="shared" si="5"/>
        <v>95.391183999999939</v>
      </c>
      <c r="C11">
        <f t="shared" si="1"/>
        <v>1430.8677599999992</v>
      </c>
      <c r="D11">
        <f>MATCH(B11,Battery!B:B,-1)</f>
        <v>8</v>
      </c>
      <c r="E11" cm="1">
        <f t="array" ref="E11">INDEX(Battery!C:C,D11+1)+(INDEX(Battery!C:C,D11)-INDEX(Battery!C:C,D11+1))/(INDEX(Battery!B:B,D11)-INDEX(Battery!C:C,B11+1))*(B11-INDEX(Battery!C:C,B11+1))</f>
        <v>4.1028273543252833</v>
      </c>
      <c r="F11">
        <f t="shared" si="2"/>
        <v>3.5750000000000002</v>
      </c>
      <c r="G11">
        <f>MATCH(F11,Load!A:A,-1)</f>
        <v>9</v>
      </c>
      <c r="H11">
        <f t="shared" si="3"/>
        <v>86.415300000000016</v>
      </c>
      <c r="I11">
        <f t="shared" si="0"/>
        <v>8.6415299999999995</v>
      </c>
      <c r="J11">
        <f t="shared" si="4"/>
        <v>87.135033752545382</v>
      </c>
      <c r="Q11" s="1"/>
      <c r="R11" s="1">
        <f>(R7-R9)*60</f>
        <v>48.000000000000043</v>
      </c>
    </row>
    <row r="12" spans="1:19" x14ac:dyDescent="0.3">
      <c r="A12">
        <v>0.9</v>
      </c>
      <c r="B12">
        <f t="shared" si="5"/>
        <v>94.815081999999933</v>
      </c>
      <c r="C12">
        <f t="shared" si="1"/>
        <v>1422.2262299999991</v>
      </c>
      <c r="D12">
        <f>MATCH(B12,Battery!B:B,-1)</f>
        <v>8</v>
      </c>
      <c r="E12" cm="1">
        <f t="array" ref="E12">INDEX(Battery!C:C,D12+1)+(INDEX(Battery!C:C,D12)-INDEX(Battery!C:C,D12+1))/(INDEX(Battery!B:B,D12)-INDEX(Battery!C:C,B12+1))*(B12-INDEX(Battery!C:C,B12+1))</f>
        <v>4.1027151333372993</v>
      </c>
      <c r="F12">
        <f t="shared" si="2"/>
        <v>3.5750000000000002</v>
      </c>
      <c r="G12">
        <f>MATCH(F12,Load!A:A,-1)</f>
        <v>9</v>
      </c>
      <c r="H12">
        <f t="shared" si="3"/>
        <v>86.415300000000016</v>
      </c>
      <c r="I12">
        <f t="shared" si="0"/>
        <v>8.6415299999999995</v>
      </c>
      <c r="J12">
        <f t="shared" si="4"/>
        <v>87.137417144825363</v>
      </c>
    </row>
    <row r="13" spans="1:19" x14ac:dyDescent="0.3">
      <c r="A13">
        <v>1</v>
      </c>
      <c r="B13">
        <f t="shared" si="5"/>
        <v>94.238979999999927</v>
      </c>
      <c r="C13">
        <f t="shared" si="1"/>
        <v>1413.584699999999</v>
      </c>
      <c r="D13">
        <f>MATCH(B13,Battery!B:B,-1)</f>
        <v>9</v>
      </c>
      <c r="E13" cm="1">
        <f t="array" ref="E13">INDEX(Battery!C:C,D13+1)+(INDEX(Battery!C:C,D13)-INDEX(Battery!C:C,D13+1))/(INDEX(Battery!B:B,D13)-INDEX(Battery!C:C,B13+1))*(B13-INDEX(Battery!C:C,B13+1))</f>
        <v>4.0840119310864402</v>
      </c>
      <c r="F13">
        <f t="shared" si="2"/>
        <v>3.5750000000000002</v>
      </c>
      <c r="G13">
        <f>MATCH(F13,Load!A:A,-1)</f>
        <v>9</v>
      </c>
      <c r="H13">
        <f t="shared" si="3"/>
        <v>86.415300000000016</v>
      </c>
      <c r="I13">
        <f t="shared" si="0"/>
        <v>8.6415300000000101</v>
      </c>
      <c r="J13">
        <f t="shared" si="4"/>
        <v>87.536472966399216</v>
      </c>
    </row>
    <row r="14" spans="1:19" x14ac:dyDescent="0.3">
      <c r="A14">
        <v>1.1000000000000001</v>
      </c>
      <c r="B14">
        <f t="shared" si="5"/>
        <v>93.662877999999921</v>
      </c>
      <c r="C14">
        <f t="shared" si="1"/>
        <v>1404.9431699999989</v>
      </c>
      <c r="D14">
        <f>MATCH(B14,Battery!B:B,-1)</f>
        <v>9</v>
      </c>
      <c r="E14" cm="1">
        <f t="array" ref="E14">INDEX(Battery!C:C,D14+1)+(INDEX(Battery!C:C,D14)-INDEX(Battery!C:C,D14+1))/(INDEX(Battery!B:B,D14)-INDEX(Battery!C:C,B14+1))*(B14-INDEX(Battery!C:C,B14+1))</f>
        <v>4.0837551721211067</v>
      </c>
      <c r="F14">
        <f t="shared" si="2"/>
        <v>3.5750000000000002</v>
      </c>
      <c r="G14">
        <f>MATCH(F14,Load!A:A,-1)</f>
        <v>9</v>
      </c>
      <c r="H14">
        <f t="shared" si="3"/>
        <v>86.415300000000016</v>
      </c>
      <c r="I14">
        <f t="shared" si="0"/>
        <v>8.6415299999999906</v>
      </c>
      <c r="J14">
        <f t="shared" si="4"/>
        <v>87.541976669065136</v>
      </c>
    </row>
    <row r="15" spans="1:19" x14ac:dyDescent="0.3">
      <c r="A15">
        <v>1.2</v>
      </c>
      <c r="B15">
        <f t="shared" si="5"/>
        <v>93.086775999999915</v>
      </c>
      <c r="C15">
        <f t="shared" si="1"/>
        <v>1396.3016399999988</v>
      </c>
      <c r="D15">
        <f>MATCH(B15,Battery!B:B,-1)</f>
        <v>9</v>
      </c>
      <c r="E15" cm="1">
        <f t="array" ref="E15">INDEX(Battery!C:C,D15+1)+(INDEX(Battery!C:C,D15)-INDEX(Battery!C:C,D15+1))/(INDEX(Battery!B:B,D15)-INDEX(Battery!C:C,B15+1))*(B15-INDEX(Battery!C:C,B15+1))</f>
        <v>4.0834984131557741</v>
      </c>
      <c r="F15">
        <f t="shared" si="2"/>
        <v>3.5750000000000002</v>
      </c>
      <c r="G15">
        <f>MATCH(F15,Load!A:A,-1)</f>
        <v>9</v>
      </c>
      <c r="H15">
        <f t="shared" si="3"/>
        <v>86.415300000000016</v>
      </c>
      <c r="I15">
        <f t="shared" si="0"/>
        <v>8.6415300000000101</v>
      </c>
      <c r="J15">
        <f t="shared" si="4"/>
        <v>87.547481063845922</v>
      </c>
    </row>
    <row r="16" spans="1:19" x14ac:dyDescent="0.3">
      <c r="A16">
        <v>1.3</v>
      </c>
      <c r="B16">
        <f t="shared" si="5"/>
        <v>92.510673999999909</v>
      </c>
      <c r="C16">
        <f t="shared" si="1"/>
        <v>1387.6601099999987</v>
      </c>
      <c r="D16">
        <f>MATCH(B16,Battery!B:B,-1)</f>
        <v>9</v>
      </c>
      <c r="E16" cm="1">
        <f t="array" ref="E16">INDEX(Battery!C:C,D16+1)+(INDEX(Battery!C:C,D16)-INDEX(Battery!C:C,D16+1))/(INDEX(Battery!B:B,D16)-INDEX(Battery!C:C,B16+1))*(B16-INDEX(Battery!C:C,B16+1))</f>
        <v>4.0832416541904406</v>
      </c>
      <c r="F16">
        <f t="shared" si="2"/>
        <v>3.5750000000000002</v>
      </c>
      <c r="G16">
        <f>MATCH(F16,Load!A:A,-1)</f>
        <v>9</v>
      </c>
      <c r="H16">
        <f t="shared" si="3"/>
        <v>86.415300000000016</v>
      </c>
      <c r="I16">
        <f t="shared" si="0"/>
        <v>8.6415299999999906</v>
      </c>
      <c r="J16">
        <f t="shared" si="4"/>
        <v>87.552986150872172</v>
      </c>
    </row>
    <row r="17" spans="1:10" x14ac:dyDescent="0.3">
      <c r="A17">
        <v>1.4</v>
      </c>
      <c r="B17">
        <f t="shared" si="5"/>
        <v>91.934571999999903</v>
      </c>
      <c r="C17">
        <f t="shared" si="1"/>
        <v>1379.0185799999986</v>
      </c>
      <c r="D17">
        <f>MATCH(B17,Battery!B:B,-1)</f>
        <v>9</v>
      </c>
      <c r="E17" cm="1">
        <f t="array" ref="E17">INDEX(Battery!C:C,D17+1)+(INDEX(Battery!C:C,D17)-INDEX(Battery!C:C,D17+1))/(INDEX(Battery!B:B,D17)-INDEX(Battery!C:C,B17+1))*(B17-INDEX(Battery!C:C,B17+1))</f>
        <v>4.082984895225108</v>
      </c>
      <c r="F17">
        <f t="shared" si="2"/>
        <v>3.5750000000000002</v>
      </c>
      <c r="G17">
        <f>MATCH(F17,Load!A:A,-1)</f>
        <v>9</v>
      </c>
      <c r="H17">
        <f t="shared" si="3"/>
        <v>86.415300000000016</v>
      </c>
      <c r="I17">
        <f t="shared" si="0"/>
        <v>8.6415300000000101</v>
      </c>
      <c r="J17">
        <f t="shared" si="4"/>
        <v>87.558491930274428</v>
      </c>
    </row>
    <row r="18" spans="1:10" x14ac:dyDescent="0.3">
      <c r="A18">
        <v>1.5</v>
      </c>
      <c r="B18">
        <f t="shared" si="5"/>
        <v>91.358469999999897</v>
      </c>
      <c r="C18">
        <f t="shared" si="1"/>
        <v>1370.3770499999985</v>
      </c>
      <c r="D18">
        <f>MATCH(B18,Battery!B:B,-1)</f>
        <v>9</v>
      </c>
      <c r="E18" cm="1">
        <f t="array" ref="E18">INDEX(Battery!C:C,D18+1)+(INDEX(Battery!C:C,D18)-INDEX(Battery!C:C,D18+1))/(INDEX(Battery!B:B,D18)-INDEX(Battery!C:C,B18+1))*(B18-INDEX(Battery!C:C,B18+1))</f>
        <v>4.0827281362597754</v>
      </c>
      <c r="F18">
        <f t="shared" si="2"/>
        <v>3.5750000000000002</v>
      </c>
      <c r="G18">
        <f>MATCH(F18,Load!A:A,-1)</f>
        <v>9</v>
      </c>
      <c r="H18">
        <f t="shared" si="3"/>
        <v>86.415300000000016</v>
      </c>
      <c r="I18">
        <f t="shared" si="0"/>
        <v>8.6415300000000101</v>
      </c>
      <c r="J18">
        <f t="shared" si="4"/>
        <v>87.563998402183358</v>
      </c>
    </row>
    <row r="19" spans="1:10" x14ac:dyDescent="0.3">
      <c r="A19">
        <v>1.6</v>
      </c>
      <c r="B19">
        <f t="shared" si="5"/>
        <v>90.782367999999892</v>
      </c>
      <c r="C19">
        <f t="shared" si="1"/>
        <v>1361.7355199999984</v>
      </c>
      <c r="D19">
        <f>MATCH(B19,Battery!B:B,-1)</f>
        <v>9</v>
      </c>
      <c r="E19" cm="1">
        <f t="array" ref="E19">INDEX(Battery!C:C,D19+1)+(INDEX(Battery!C:C,D19)-INDEX(Battery!C:C,D19+1))/(INDEX(Battery!B:B,D19)-INDEX(Battery!C:C,B19+1))*(B19-INDEX(Battery!C:C,B19+1))</f>
        <v>4.0824713772944419</v>
      </c>
      <c r="F19">
        <f t="shared" si="2"/>
        <v>3.5750000000000002</v>
      </c>
      <c r="G19">
        <f>MATCH(F19,Load!A:A,-1)</f>
        <v>9</v>
      </c>
      <c r="H19">
        <f t="shared" si="3"/>
        <v>86.415300000000016</v>
      </c>
      <c r="I19">
        <f t="shared" si="0"/>
        <v>8.6415299999999906</v>
      </c>
      <c r="J19">
        <f t="shared" si="4"/>
        <v>87.569505566729632</v>
      </c>
    </row>
    <row r="20" spans="1:10" x14ac:dyDescent="0.3">
      <c r="A20">
        <v>1.7</v>
      </c>
      <c r="B20">
        <f t="shared" si="5"/>
        <v>90.206265999999886</v>
      </c>
      <c r="C20">
        <f t="shared" si="1"/>
        <v>1353.0939899999983</v>
      </c>
      <c r="D20">
        <f>MATCH(B20,Battery!B:B,-1)</f>
        <v>10</v>
      </c>
      <c r="E20" cm="1">
        <f t="array" ref="E20">INDEX(Battery!C:C,D20+1)+(INDEX(Battery!C:C,D20)-INDEX(Battery!C:C,D20+1))/(INDEX(Battery!B:B,D20)-INDEX(Battery!C:C,B20+1))*(B20-INDEX(Battery!C:C,B20+1))</f>
        <v>4.0418190865483981</v>
      </c>
      <c r="F20">
        <f t="shared" si="2"/>
        <v>3.5750000000000002</v>
      </c>
      <c r="G20">
        <f>MATCH(F20,Load!A:A,-1)</f>
        <v>9</v>
      </c>
      <c r="H20">
        <f t="shared" si="3"/>
        <v>86.415300000000016</v>
      </c>
      <c r="I20">
        <f t="shared" si="0"/>
        <v>8.6415300000000101</v>
      </c>
      <c r="J20">
        <f t="shared" si="4"/>
        <v>88.45027259874098</v>
      </c>
    </row>
    <row r="21" spans="1:10" x14ac:dyDescent="0.3">
      <c r="A21">
        <v>1.8</v>
      </c>
      <c r="B21">
        <f t="shared" si="5"/>
        <v>89.63016399999988</v>
      </c>
      <c r="C21">
        <f t="shared" si="1"/>
        <v>1344.4524599999982</v>
      </c>
      <c r="D21">
        <f>MATCH(B21,Battery!B:B,-1)</f>
        <v>10</v>
      </c>
      <c r="E21" cm="1">
        <f t="array" ref="E21">INDEX(Battery!C:C,D21+1)+(INDEX(Battery!C:C,D21)-INDEX(Battery!C:C,D21+1))/(INDEX(Battery!B:B,D21)-INDEX(Battery!C:C,B21+1))*(B21-INDEX(Battery!C:C,B21+1))</f>
        <v>4.0416205125058822</v>
      </c>
      <c r="F21">
        <f t="shared" si="2"/>
        <v>3.5750000000000002</v>
      </c>
      <c r="G21">
        <f>MATCH(F21,Load!A:A,-1)</f>
        <v>9</v>
      </c>
      <c r="H21">
        <f t="shared" si="3"/>
        <v>86.415300000000016</v>
      </c>
      <c r="I21">
        <f t="shared" si="0"/>
        <v>8.6415299999999906</v>
      </c>
      <c r="J21">
        <f t="shared" si="4"/>
        <v>88.454618362559529</v>
      </c>
    </row>
    <row r="22" spans="1:10" x14ac:dyDescent="0.3">
      <c r="A22">
        <v>1.9</v>
      </c>
      <c r="B22">
        <f t="shared" si="5"/>
        <v>89.054061999999874</v>
      </c>
      <c r="C22">
        <f t="shared" si="1"/>
        <v>1335.8109299999981</v>
      </c>
      <c r="D22">
        <f>MATCH(B22,Battery!B:B,-1)</f>
        <v>10</v>
      </c>
      <c r="E22" cm="1">
        <f t="array" ref="E22">INDEX(Battery!C:C,D22+1)+(INDEX(Battery!C:C,D22)-INDEX(Battery!C:C,D22+1))/(INDEX(Battery!B:B,D22)-INDEX(Battery!C:C,B22+1))*(B22-INDEX(Battery!C:C,B22+1))</f>
        <v>4.0414219384633663</v>
      </c>
      <c r="F22">
        <f t="shared" si="2"/>
        <v>3.5750000000000002</v>
      </c>
      <c r="G22">
        <f>MATCH(F22,Load!A:A,-1)</f>
        <v>9</v>
      </c>
      <c r="H22">
        <f t="shared" si="3"/>
        <v>86.415300000000016</v>
      </c>
      <c r="I22">
        <f t="shared" si="0"/>
        <v>8.6415300000000101</v>
      </c>
      <c r="J22">
        <f t="shared" si="4"/>
        <v>88.458964553433646</v>
      </c>
    </row>
    <row r="23" spans="1:10" x14ac:dyDescent="0.3">
      <c r="A23">
        <v>2</v>
      </c>
      <c r="B23">
        <f t="shared" si="5"/>
        <v>88.477959999999868</v>
      </c>
      <c r="C23">
        <f t="shared" si="1"/>
        <v>1327.1693999999979</v>
      </c>
      <c r="D23">
        <f>MATCH(B23,Battery!B:B,-1)</f>
        <v>10</v>
      </c>
      <c r="E23" cm="1">
        <f t="array" ref="E23">INDEX(Battery!C:C,D23+1)+(INDEX(Battery!C:C,D23)-INDEX(Battery!C:C,D23+1))/(INDEX(Battery!B:B,D23)-INDEX(Battery!C:C,B23+1))*(B23-INDEX(Battery!C:C,B23+1))</f>
        <v>4.0412233644208504</v>
      </c>
      <c r="F23">
        <f t="shared" si="2"/>
        <v>3.5750000000000002</v>
      </c>
      <c r="G23">
        <f>MATCH(F23,Load!A:A,-1)</f>
        <v>9</v>
      </c>
      <c r="H23">
        <f t="shared" si="3"/>
        <v>86.415300000000016</v>
      </c>
      <c r="I23">
        <f t="shared" si="0"/>
        <v>8.6415300000000101</v>
      </c>
      <c r="J23">
        <f t="shared" si="4"/>
        <v>88.463311171426312</v>
      </c>
    </row>
    <row r="24" spans="1:10" x14ac:dyDescent="0.3">
      <c r="A24">
        <v>2.1</v>
      </c>
      <c r="B24">
        <f t="shared" si="5"/>
        <v>87.901857999999862</v>
      </c>
      <c r="C24">
        <f t="shared" si="1"/>
        <v>1318.5278699999978</v>
      </c>
      <c r="D24">
        <f>MATCH(B24,Battery!B:B,-1)</f>
        <v>10</v>
      </c>
      <c r="E24" cm="1">
        <f t="array" ref="E24">INDEX(Battery!C:C,D24+1)+(INDEX(Battery!C:C,D24)-INDEX(Battery!C:C,D24+1))/(INDEX(Battery!B:B,D24)-INDEX(Battery!C:C,B24+1))*(B24-INDEX(Battery!C:C,B24+1))</f>
        <v>4.0410247903783345</v>
      </c>
      <c r="F24">
        <f t="shared" si="2"/>
        <v>3.5750000000000002</v>
      </c>
      <c r="G24">
        <f>MATCH(F24,Load!A:A,-1)</f>
        <v>9</v>
      </c>
      <c r="H24">
        <f t="shared" si="3"/>
        <v>86.415300000000016</v>
      </c>
      <c r="I24">
        <f t="shared" si="0"/>
        <v>8.6415300000000101</v>
      </c>
      <c r="J24">
        <f t="shared" si="4"/>
        <v>88.467658216600469</v>
      </c>
    </row>
    <row r="25" spans="1:10" x14ac:dyDescent="0.3">
      <c r="A25">
        <v>2.2000000000000002</v>
      </c>
      <c r="B25">
        <f t="shared" si="5"/>
        <v>87.325755999999856</v>
      </c>
      <c r="C25">
        <f t="shared" si="1"/>
        <v>1309.8863399999977</v>
      </c>
      <c r="D25">
        <f>MATCH(B25,Battery!B:B,-1)</f>
        <v>11</v>
      </c>
      <c r="E25" cm="1">
        <f t="array" ref="E25">INDEX(Battery!C:C,D25+1)+(INDEX(Battery!C:C,D25)-INDEX(Battery!C:C,D25+1))/(INDEX(Battery!B:B,D25)-INDEX(Battery!C:C,B25+1))*(B25-INDEX(Battery!C:C,B25+1))</f>
        <v>4.0107181745230749</v>
      </c>
      <c r="F25">
        <f t="shared" si="2"/>
        <v>3.5750000000000002</v>
      </c>
      <c r="G25">
        <f>MATCH(F25,Load!A:A,-1)</f>
        <v>9</v>
      </c>
      <c r="H25">
        <f t="shared" si="3"/>
        <v>86.415300000000016</v>
      </c>
      <c r="I25">
        <f t="shared" si="0"/>
        <v>8.6415299999999711</v>
      </c>
      <c r="J25">
        <f t="shared" si="4"/>
        <v>89.13615578150447</v>
      </c>
    </row>
    <row r="26" spans="1:10" x14ac:dyDescent="0.3">
      <c r="A26">
        <v>2.2999999999999998</v>
      </c>
      <c r="B26">
        <f t="shared" si="5"/>
        <v>86.74965399999985</v>
      </c>
      <c r="C26">
        <f t="shared" si="1"/>
        <v>1301.2448099999979</v>
      </c>
      <c r="D26">
        <f>MATCH(B26,Battery!B:B,-1)</f>
        <v>11</v>
      </c>
      <c r="E26" cm="1">
        <f t="array" ref="E26">INDEX(Battery!C:C,D26+1)+(INDEX(Battery!C:C,D26)-INDEX(Battery!C:C,D26+1))/(INDEX(Battery!B:B,D26)-INDEX(Battery!C:C,B26+1))*(B26-INDEX(Battery!C:C,B26+1))</f>
        <v>4.0104808774063967</v>
      </c>
      <c r="F26">
        <f t="shared" si="2"/>
        <v>3.5750000000000002</v>
      </c>
      <c r="G26">
        <f>MATCH(F26,Load!A:A,-1)</f>
        <v>9</v>
      </c>
      <c r="H26">
        <f t="shared" si="3"/>
        <v>86.415300000000016</v>
      </c>
      <c r="I26">
        <f t="shared" si="0"/>
        <v>8.6415300000000101</v>
      </c>
      <c r="J26">
        <f t="shared" si="4"/>
        <v>89.141429900345898</v>
      </c>
    </row>
    <row r="27" spans="1:10" x14ac:dyDescent="0.3">
      <c r="A27">
        <v>2.4</v>
      </c>
      <c r="B27">
        <f t="shared" si="5"/>
        <v>86.173551999999859</v>
      </c>
      <c r="C27">
        <f t="shared" si="1"/>
        <v>1292.6032799999978</v>
      </c>
      <c r="D27">
        <f>MATCH(B27,Battery!B:B,-1)</f>
        <v>11</v>
      </c>
      <c r="E27" cm="1">
        <f t="array" ref="E27">INDEX(Battery!C:C,D27+1)+(INDEX(Battery!C:C,D27)-INDEX(Battery!C:C,D27+1))/(INDEX(Battery!B:B,D27)-INDEX(Battery!C:C,B27+1))*(B27-INDEX(Battery!C:C,B27+1))</f>
        <v>4.0102435802897194</v>
      </c>
      <c r="F27">
        <f t="shared" si="2"/>
        <v>3.5750000000000002</v>
      </c>
      <c r="G27">
        <f>MATCH(F27,Load!A:A,-1)</f>
        <v>9</v>
      </c>
      <c r="H27">
        <f t="shared" si="3"/>
        <v>86.415300000000016</v>
      </c>
      <c r="I27">
        <f t="shared" si="0"/>
        <v>8.6415300000000101</v>
      </c>
      <c r="J27">
        <f t="shared" si="4"/>
        <v>89.146704643355477</v>
      </c>
    </row>
    <row r="28" spans="1:10" x14ac:dyDescent="0.3">
      <c r="A28">
        <v>2.5</v>
      </c>
      <c r="B28">
        <f>C28/C$3*100</f>
        <v>85.597449999999839</v>
      </c>
      <c r="C28">
        <f t="shared" si="1"/>
        <v>1283.9617499999977</v>
      </c>
      <c r="D28">
        <f>MATCH(B28,Battery!B:B,-1)</f>
        <v>11</v>
      </c>
      <c r="E28" cm="1">
        <f t="array" ref="E28">INDEX(Battery!C:C,D28+1)+(INDEX(Battery!C:C,D28)-INDEX(Battery!C:C,D28+1))/(INDEX(Battery!B:B,D28)-INDEX(Battery!C:C,B28+1))*(B28-INDEX(Battery!C:C,B28+1))</f>
        <v>4.0100062831730412</v>
      </c>
      <c r="F28">
        <f t="shared" si="2"/>
        <v>3.5750000000000002</v>
      </c>
      <c r="G28">
        <f>MATCH(F28,Load!A:A,-1)</f>
        <v>9</v>
      </c>
      <c r="H28">
        <f t="shared" si="3"/>
        <v>86.415300000000016</v>
      </c>
      <c r="I28">
        <f t="shared" si="0"/>
        <v>8.6415300000000101</v>
      </c>
      <c r="J28">
        <f t="shared" si="4"/>
        <v>89.151980010644067</v>
      </c>
    </row>
    <row r="29" spans="1:10" x14ac:dyDescent="0.3">
      <c r="A29">
        <v>2.6</v>
      </c>
      <c r="B29">
        <f t="shared" si="5"/>
        <v>85.021347999999847</v>
      </c>
      <c r="C29">
        <f t="shared" si="1"/>
        <v>1275.3202199999976</v>
      </c>
      <c r="D29">
        <f>MATCH(B29,Battery!B:B,-1)</f>
        <v>11</v>
      </c>
      <c r="E29" cm="1">
        <f t="array" ref="E29">INDEX(Battery!C:C,D29+1)+(INDEX(Battery!C:C,D29)-INDEX(Battery!C:C,D29+1))/(INDEX(Battery!B:B,D29)-INDEX(Battery!C:C,B29+1))*(B29-INDEX(Battery!C:C,B29+1))</f>
        <v>4.0097689860563639</v>
      </c>
      <c r="F29">
        <f t="shared" si="2"/>
        <v>3.5750000000000002</v>
      </c>
      <c r="G29">
        <f>MATCH(F29,Load!A:A,-1)</f>
        <v>9</v>
      </c>
      <c r="H29">
        <f t="shared" si="3"/>
        <v>86.415300000000016</v>
      </c>
      <c r="I29">
        <f t="shared" si="0"/>
        <v>8.6415300000000101</v>
      </c>
      <c r="J29">
        <f t="shared" si="4"/>
        <v>89.157256002322413</v>
      </c>
    </row>
    <row r="30" spans="1:10" x14ac:dyDescent="0.3">
      <c r="A30">
        <v>2.7</v>
      </c>
      <c r="B30">
        <f t="shared" si="5"/>
        <v>84.445245999999827</v>
      </c>
      <c r="C30">
        <f t="shared" si="1"/>
        <v>1266.6786899999975</v>
      </c>
      <c r="D30">
        <f>MATCH(B30,Battery!B:B,-1)</f>
        <v>11</v>
      </c>
      <c r="E30" cm="1">
        <f t="array" ref="E30">INDEX(Battery!C:C,D30+1)+(INDEX(Battery!C:C,D30)-INDEX(Battery!C:C,D30+1))/(INDEX(Battery!B:B,D30)-INDEX(Battery!C:C,B30+1))*(B30-INDEX(Battery!C:C,B30+1))</f>
        <v>4.0095316889396857</v>
      </c>
      <c r="F30">
        <f t="shared" si="2"/>
        <v>3.5750000000000002</v>
      </c>
      <c r="G30">
        <f>MATCH(F30,Load!A:A,-1)</f>
        <v>9</v>
      </c>
      <c r="H30">
        <f t="shared" si="3"/>
        <v>86.415300000000016</v>
      </c>
      <c r="I30">
        <f t="shared" si="0"/>
        <v>8.6415299999999711</v>
      </c>
      <c r="J30">
        <f t="shared" si="4"/>
        <v>89.162532618501473</v>
      </c>
    </row>
    <row r="31" spans="1:10" x14ac:dyDescent="0.3">
      <c r="A31">
        <v>2.8</v>
      </c>
      <c r="B31">
        <f t="shared" si="5"/>
        <v>83.869143999999835</v>
      </c>
      <c r="C31">
        <f t="shared" si="1"/>
        <v>1258.0371599999976</v>
      </c>
      <c r="D31">
        <f>MATCH(B31,Battery!B:B,-1)</f>
        <v>11</v>
      </c>
      <c r="E31" cm="1">
        <f t="array" ref="E31">INDEX(Battery!C:C,D31+1)+(INDEX(Battery!C:C,D31)-INDEX(Battery!C:C,D31+1))/(INDEX(Battery!B:B,D31)-INDEX(Battery!C:C,B31+1))*(B31-INDEX(Battery!C:C,B31+1))</f>
        <v>4.0092943918230075</v>
      </c>
      <c r="F31">
        <f t="shared" si="2"/>
        <v>3.5750000000000002</v>
      </c>
      <c r="G31">
        <f>MATCH(F31,Load!A:A,-1)</f>
        <v>9</v>
      </c>
      <c r="H31">
        <f t="shared" si="3"/>
        <v>86.415300000000016</v>
      </c>
      <c r="I31">
        <f t="shared" si="0"/>
        <v>8.6415300000000101</v>
      </c>
      <c r="J31">
        <f t="shared" si="4"/>
        <v>89.167809859292078</v>
      </c>
    </row>
    <row r="32" spans="1:10" x14ac:dyDescent="0.3">
      <c r="A32">
        <v>2.9</v>
      </c>
      <c r="B32">
        <f t="shared" si="5"/>
        <v>83.293041999999829</v>
      </c>
      <c r="C32">
        <f t="shared" si="1"/>
        <v>1249.3956299999975</v>
      </c>
      <c r="D32">
        <f>MATCH(B32,Battery!B:B,-1)</f>
        <v>12</v>
      </c>
      <c r="E32" cm="1">
        <f t="array" ref="E32">INDEX(Battery!C:C,D32+1)+(INDEX(Battery!C:C,D32)-INDEX(Battery!C:C,D32+1))/(INDEX(Battery!B:B,D32)-INDEX(Battery!C:C,B32+1))*(B32-INDEX(Battery!C:C,B32+1))</f>
        <v>3.9745930971022689</v>
      </c>
      <c r="F32">
        <f t="shared" si="2"/>
        <v>3.5750000000000002</v>
      </c>
      <c r="G32">
        <f>MATCH(F32,Load!A:A,-1)</f>
        <v>9</v>
      </c>
      <c r="H32">
        <f t="shared" si="3"/>
        <v>86.415300000000016</v>
      </c>
      <c r="I32">
        <f t="shared" si="0"/>
        <v>8.6415300000000101</v>
      </c>
      <c r="J32">
        <f t="shared" si="4"/>
        <v>89.946314318474592</v>
      </c>
    </row>
    <row r="33" spans="1:10" x14ac:dyDescent="0.3">
      <c r="A33">
        <v>3</v>
      </c>
      <c r="B33">
        <f t="shared" si="5"/>
        <v>82.716939999999823</v>
      </c>
      <c r="C33">
        <f t="shared" si="1"/>
        <v>1240.7540999999974</v>
      </c>
      <c r="D33">
        <f>MATCH(B33,Battery!B:B,-1)</f>
        <v>12</v>
      </c>
      <c r="E33" cm="1">
        <f t="array" ref="E33">INDEX(Battery!C:C,D33+1)+(INDEX(Battery!C:C,D33)-INDEX(Battery!C:C,D33+1))/(INDEX(Battery!B:B,D33)-INDEX(Battery!C:C,B33+1))*(B33-INDEX(Battery!C:C,B33+1))</f>
        <v>3.9743777883279376</v>
      </c>
      <c r="F33">
        <f t="shared" si="2"/>
        <v>3.5750000000000002</v>
      </c>
      <c r="G33">
        <f>MATCH(F33,Load!A:A,-1)</f>
        <v>9</v>
      </c>
      <c r="H33">
        <f t="shared" si="3"/>
        <v>86.415300000000016</v>
      </c>
      <c r="I33">
        <f t="shared" si="0"/>
        <v>8.6415300000000101</v>
      </c>
      <c r="J33">
        <f t="shared" si="4"/>
        <v>89.951187088936507</v>
      </c>
    </row>
    <row r="34" spans="1:10" x14ac:dyDescent="0.3">
      <c r="A34">
        <v>3.1</v>
      </c>
      <c r="B34">
        <f>C34/C$3*100</f>
        <v>82.140837999999817</v>
      </c>
      <c r="C34">
        <f t="shared" si="1"/>
        <v>1232.1125699999973</v>
      </c>
      <c r="D34">
        <f>MATCH(B34,Battery!B:B,-1)</f>
        <v>12</v>
      </c>
      <c r="E34" cm="1">
        <f t="array" ref="E34">INDEX(Battery!C:C,D34+1)+(INDEX(Battery!C:C,D34)-INDEX(Battery!C:C,D34+1))/(INDEX(Battery!B:B,D34)-INDEX(Battery!C:C,B34+1))*(B34-INDEX(Battery!C:C,B34+1))</f>
        <v>3.9741624795536068</v>
      </c>
      <c r="F34">
        <f t="shared" si="2"/>
        <v>3.5750000000000002</v>
      </c>
      <c r="G34">
        <f>MATCH(F34,Load!A:A,-1)</f>
        <v>9</v>
      </c>
      <c r="H34">
        <f t="shared" si="3"/>
        <v>86.415300000000016</v>
      </c>
      <c r="I34">
        <f t="shared" si="0"/>
        <v>8.6415300000000101</v>
      </c>
      <c r="J34">
        <f t="shared" si="4"/>
        <v>89.956060387384014</v>
      </c>
    </row>
    <row r="35" spans="1:10" x14ac:dyDescent="0.3">
      <c r="A35">
        <v>3.2</v>
      </c>
      <c r="B35">
        <f t="shared" si="5"/>
        <v>81.564735999999812</v>
      </c>
      <c r="C35">
        <f t="shared" si="1"/>
        <v>1223.4710399999972</v>
      </c>
      <c r="D35">
        <f>MATCH(B35,Battery!B:B,-1)</f>
        <v>12</v>
      </c>
      <c r="E35" cm="1">
        <f t="array" ref="E35">INDEX(Battery!C:C,D35+1)+(INDEX(Battery!C:C,D35)-INDEX(Battery!C:C,D35+1))/(INDEX(Battery!B:B,D35)-INDEX(Battery!C:C,B35+1))*(B35-INDEX(Battery!C:C,B35+1))</f>
        <v>3.9739471707792755</v>
      </c>
      <c r="F35">
        <f t="shared" si="2"/>
        <v>3.5750000000000002</v>
      </c>
      <c r="G35">
        <f>MATCH(F35,Load!A:A,-1)</f>
        <v>9</v>
      </c>
      <c r="H35">
        <f t="shared" si="3"/>
        <v>86.415300000000016</v>
      </c>
      <c r="I35">
        <f t="shared" ref="I35:I66" si="6">H35*(A36-A35)</f>
        <v>8.6415299999999711</v>
      </c>
      <c r="J35">
        <f t="shared" si="4"/>
        <v>89.960934213902917</v>
      </c>
    </row>
    <row r="36" spans="1:10" x14ac:dyDescent="0.3">
      <c r="A36">
        <v>3.3</v>
      </c>
      <c r="B36">
        <f t="shared" si="5"/>
        <v>80.98863399999982</v>
      </c>
      <c r="C36">
        <f t="shared" ref="C36:C67" si="7">C35-I35</f>
        <v>1214.8295099999973</v>
      </c>
      <c r="D36">
        <f>MATCH(B36,Battery!B:B,-1)</f>
        <v>12</v>
      </c>
      <c r="E36" cm="1">
        <f t="array" ref="E36">INDEX(Battery!C:C,D36+1)+(INDEX(Battery!C:C,D36)-INDEX(Battery!C:C,D36+1))/(INDEX(Battery!B:B,D36)-INDEX(Battery!C:C,B36+1))*(B36-INDEX(Battery!C:C,B36+1))</f>
        <v>3.9737318620049442</v>
      </c>
      <c r="F36">
        <f t="shared" si="2"/>
        <v>3.5750000000000002</v>
      </c>
      <c r="G36">
        <f>MATCH(F36,Load!A:A,-1)</f>
        <v>9</v>
      </c>
      <c r="H36">
        <f t="shared" si="3"/>
        <v>86.415300000000016</v>
      </c>
      <c r="I36">
        <f t="shared" si="6"/>
        <v>8.6415300000000101</v>
      </c>
      <c r="J36">
        <f t="shared" si="4"/>
        <v>89.96580856857905</v>
      </c>
    </row>
    <row r="37" spans="1:10" x14ac:dyDescent="0.3">
      <c r="A37">
        <v>3.4</v>
      </c>
      <c r="B37">
        <f t="shared" si="5"/>
        <v>80.412531999999814</v>
      </c>
      <c r="C37">
        <f t="shared" si="7"/>
        <v>1206.1879799999972</v>
      </c>
      <c r="D37">
        <f>MATCH(B37,Battery!B:B,-1)</f>
        <v>12</v>
      </c>
      <c r="E37" cm="1">
        <f t="array" ref="E37">INDEX(Battery!C:C,D37+1)+(INDEX(Battery!C:C,D37)-INDEX(Battery!C:C,D37+1))/(INDEX(Battery!B:B,D37)-INDEX(Battery!C:C,B37+1))*(B37-INDEX(Battery!C:C,B37+1))</f>
        <v>3.9735165532306134</v>
      </c>
      <c r="F37">
        <f t="shared" si="2"/>
        <v>3.5750000000000002</v>
      </c>
      <c r="G37">
        <f>MATCH(F37,Load!A:A,-1)</f>
        <v>9</v>
      </c>
      <c r="H37">
        <f t="shared" si="3"/>
        <v>86.415300000000016</v>
      </c>
      <c r="I37">
        <f t="shared" si="6"/>
        <v>8.6415300000000101</v>
      </c>
      <c r="J37">
        <f t="shared" si="4"/>
        <v>89.970683451498275</v>
      </c>
    </row>
    <row r="38" spans="1:10" x14ac:dyDescent="0.3">
      <c r="A38">
        <v>3.5</v>
      </c>
      <c r="B38">
        <f t="shared" si="5"/>
        <v>79.836429999999808</v>
      </c>
      <c r="C38">
        <f t="shared" si="7"/>
        <v>1197.5464499999971</v>
      </c>
      <c r="D38">
        <f>MATCH(B38,Battery!B:B,-1)</f>
        <v>13</v>
      </c>
      <c r="E38" cm="1">
        <f t="array" ref="E38">INDEX(Battery!C:C,D38+1)+(INDEX(Battery!C:C,D38)-INDEX(Battery!C:C,D38+1))/(INDEX(Battery!B:B,D38)-INDEX(Battery!C:C,B38+1))*(B38-INDEX(Battery!C:C,B38+1))</f>
        <v>3.9433997095967048</v>
      </c>
      <c r="F38">
        <f t="shared" si="2"/>
        <v>3.5750000000000002</v>
      </c>
      <c r="G38">
        <f>MATCH(F38,Load!A:A,-1)</f>
        <v>9</v>
      </c>
      <c r="H38">
        <f t="shared" si="3"/>
        <v>86.415300000000016</v>
      </c>
      <c r="I38">
        <f t="shared" si="6"/>
        <v>8.6415300000000101</v>
      </c>
      <c r="J38">
        <f t="shared" si="4"/>
        <v>90.657814659260566</v>
      </c>
    </row>
    <row r="39" spans="1:10" x14ac:dyDescent="0.3">
      <c r="A39">
        <v>3.6</v>
      </c>
      <c r="B39">
        <f t="shared" si="5"/>
        <v>79.260327999999802</v>
      </c>
      <c r="C39">
        <f t="shared" si="7"/>
        <v>1188.904919999997</v>
      </c>
      <c r="D39">
        <f>MATCH(B39,Battery!B:B,-1)</f>
        <v>13</v>
      </c>
      <c r="E39" cm="1">
        <f t="array" ref="E39">INDEX(Battery!C:C,D39+1)+(INDEX(Battery!C:C,D39)-INDEX(Battery!C:C,D39+1))/(INDEX(Battery!B:B,D39)-INDEX(Battery!C:C,B39+1))*(B39-INDEX(Battery!C:C,B39+1))</f>
        <v>3.9431744183120156</v>
      </c>
      <c r="F39">
        <f t="shared" si="2"/>
        <v>3.5750000000000002</v>
      </c>
      <c r="G39">
        <f>MATCH(F39,Load!A:A,-1)</f>
        <v>9</v>
      </c>
      <c r="H39">
        <f t="shared" si="3"/>
        <v>86.415300000000016</v>
      </c>
      <c r="I39">
        <f t="shared" si="6"/>
        <v>8.6415300000000101</v>
      </c>
      <c r="J39">
        <f t="shared" si="4"/>
        <v>90.662994347847729</v>
      </c>
    </row>
    <row r="40" spans="1:10" x14ac:dyDescent="0.3">
      <c r="A40">
        <v>3.7</v>
      </c>
      <c r="B40">
        <f t="shared" si="5"/>
        <v>78.684225999999796</v>
      </c>
      <c r="C40">
        <f t="shared" si="7"/>
        <v>1180.2633899999969</v>
      </c>
      <c r="D40">
        <f>MATCH(B40,Battery!B:B,-1)</f>
        <v>13</v>
      </c>
      <c r="E40" cm="1">
        <f t="array" ref="E40">INDEX(Battery!C:C,D40+1)+(INDEX(Battery!C:C,D40)-INDEX(Battery!C:C,D40+1))/(INDEX(Battery!B:B,D40)-INDEX(Battery!C:C,B40+1))*(B40-INDEX(Battery!C:C,B40+1))</f>
        <v>3.9429491270273265</v>
      </c>
      <c r="F40">
        <f t="shared" si="2"/>
        <v>3.5750000000000002</v>
      </c>
      <c r="G40">
        <f>MATCH(F40,Load!A:A,-1)</f>
        <v>9</v>
      </c>
      <c r="H40">
        <f t="shared" si="3"/>
        <v>86.415300000000016</v>
      </c>
      <c r="I40">
        <f t="shared" si="6"/>
        <v>8.6415299999999711</v>
      </c>
      <c r="J40">
        <f t="shared" si="4"/>
        <v>90.668174628346492</v>
      </c>
    </row>
    <row r="41" spans="1:10" x14ac:dyDescent="0.3">
      <c r="A41">
        <v>3.8</v>
      </c>
      <c r="B41">
        <f t="shared" si="5"/>
        <v>78.108123999999805</v>
      </c>
      <c r="C41">
        <f t="shared" si="7"/>
        <v>1171.621859999997</v>
      </c>
      <c r="D41">
        <f>MATCH(B41,Battery!B:B,-1)</f>
        <v>13</v>
      </c>
      <c r="E41" cm="1">
        <f t="array" ref="E41">INDEX(Battery!C:C,D41+1)+(INDEX(Battery!C:C,D41)-INDEX(Battery!C:C,D41+1))/(INDEX(Battery!B:B,D41)-INDEX(Battery!C:C,B41+1))*(B41-INDEX(Battery!C:C,B41+1))</f>
        <v>3.9427238357426373</v>
      </c>
      <c r="F41">
        <f t="shared" si="2"/>
        <v>3.5750000000000002</v>
      </c>
      <c r="G41">
        <f>MATCH(F41,Load!A:A,-1)</f>
        <v>9</v>
      </c>
      <c r="H41">
        <f t="shared" si="3"/>
        <v>86.415300000000016</v>
      </c>
      <c r="I41">
        <f t="shared" si="6"/>
        <v>8.6415300000000101</v>
      </c>
      <c r="J41">
        <f t="shared" si="4"/>
        <v>90.673355500858349</v>
      </c>
    </row>
    <row r="42" spans="1:10" x14ac:dyDescent="0.3">
      <c r="A42">
        <v>3.9</v>
      </c>
      <c r="B42">
        <f t="shared" si="5"/>
        <v>77.532021999999785</v>
      </c>
      <c r="C42">
        <f t="shared" si="7"/>
        <v>1162.9803299999969</v>
      </c>
      <c r="D42">
        <f>MATCH(B42,Battery!B:B,-1)</f>
        <v>13</v>
      </c>
      <c r="E42" cm="1">
        <f t="array" ref="E42">INDEX(Battery!C:C,D42+1)+(INDEX(Battery!C:C,D42)-INDEX(Battery!C:C,D42+1))/(INDEX(Battery!B:B,D42)-INDEX(Battery!C:C,B42+1))*(B42-INDEX(Battery!C:C,B42+1))</f>
        <v>3.9424985444579481</v>
      </c>
      <c r="F42">
        <f t="shared" si="2"/>
        <v>3.5750000000000002</v>
      </c>
      <c r="G42">
        <f>MATCH(F42,Load!A:A,-1)</f>
        <v>9</v>
      </c>
      <c r="H42">
        <f t="shared" si="3"/>
        <v>86.415300000000016</v>
      </c>
      <c r="I42">
        <f t="shared" si="6"/>
        <v>8.6415300000000101</v>
      </c>
      <c r="J42">
        <f t="shared" si="4"/>
        <v>90.678536965484781</v>
      </c>
    </row>
    <row r="43" spans="1:10" x14ac:dyDescent="0.3">
      <c r="A43">
        <v>4</v>
      </c>
      <c r="B43">
        <f t="shared" si="5"/>
        <v>76.955919999999793</v>
      </c>
      <c r="C43">
        <f t="shared" si="7"/>
        <v>1154.3387999999968</v>
      </c>
      <c r="D43">
        <f>MATCH(B43,Battery!B:B,-1)</f>
        <v>13</v>
      </c>
      <c r="E43" cm="1">
        <f t="array" ref="E43">INDEX(Battery!C:C,D43+1)+(INDEX(Battery!C:C,D43)-INDEX(Battery!C:C,D43+1))/(INDEX(Battery!B:B,D43)-INDEX(Battery!C:C,B43+1))*(B43-INDEX(Battery!C:C,B43+1))</f>
        <v>3.9422732531732585</v>
      </c>
      <c r="F43">
        <f t="shared" si="2"/>
        <v>3.5750000000000002</v>
      </c>
      <c r="G43">
        <f>MATCH(F43,Load!A:A,-1)</f>
        <v>9</v>
      </c>
      <c r="H43">
        <f t="shared" si="3"/>
        <v>86.415300000000016</v>
      </c>
      <c r="I43">
        <f t="shared" si="6"/>
        <v>8.6415299999999711</v>
      </c>
      <c r="J43">
        <f t="shared" si="4"/>
        <v>90.68371902232731</v>
      </c>
    </row>
    <row r="44" spans="1:10" x14ac:dyDescent="0.3">
      <c r="A44">
        <v>4.0999999999999996</v>
      </c>
      <c r="B44">
        <f t="shared" si="5"/>
        <v>76.379817999999801</v>
      </c>
      <c r="C44">
        <f t="shared" si="7"/>
        <v>1145.6972699999969</v>
      </c>
      <c r="D44">
        <f>MATCH(B44,Battery!B:B,-1)</f>
        <v>13</v>
      </c>
      <c r="E44" cm="1">
        <f t="array" ref="E44">INDEX(Battery!C:C,D44+1)+(INDEX(Battery!C:C,D44)-INDEX(Battery!C:C,D44+1))/(INDEX(Battery!B:B,D44)-INDEX(Battery!C:C,B44+1))*(B44-INDEX(Battery!C:C,B44+1))</f>
        <v>3.9420479618885693</v>
      </c>
      <c r="F44">
        <f t="shared" si="2"/>
        <v>3.5750000000000002</v>
      </c>
      <c r="G44">
        <f>MATCH(F44,Load!A:A,-1)</f>
        <v>9</v>
      </c>
      <c r="H44">
        <f t="shared" si="3"/>
        <v>86.415300000000016</v>
      </c>
      <c r="I44">
        <f t="shared" si="6"/>
        <v>8.6415300000000475</v>
      </c>
      <c r="J44">
        <f t="shared" si="4"/>
        <v>90.688901671487457</v>
      </c>
    </row>
    <row r="45" spans="1:10" x14ac:dyDescent="0.3">
      <c r="A45">
        <v>4.2</v>
      </c>
      <c r="B45">
        <f t="shared" si="5"/>
        <v>75.803715999999781</v>
      </c>
      <c r="C45">
        <f t="shared" si="7"/>
        <v>1137.0557399999968</v>
      </c>
      <c r="D45">
        <f>MATCH(B45,Battery!B:B,-1)</f>
        <v>13</v>
      </c>
      <c r="E45" cm="1">
        <f t="array" ref="E45">INDEX(Battery!C:C,D45+1)+(INDEX(Battery!C:C,D45)-INDEX(Battery!C:C,D45+1))/(INDEX(Battery!B:B,D45)-INDEX(Battery!C:C,B45+1))*(B45-INDEX(Battery!C:C,B45+1))</f>
        <v>3.9418226706038801</v>
      </c>
      <c r="F45">
        <f t="shared" si="2"/>
        <v>3.5750000000000002</v>
      </c>
      <c r="G45">
        <f>MATCH(F45,Load!A:A,-1)</f>
        <v>9</v>
      </c>
      <c r="H45">
        <f t="shared" si="3"/>
        <v>86.415300000000016</v>
      </c>
      <c r="I45">
        <f t="shared" si="6"/>
        <v>8.6415299999999711</v>
      </c>
      <c r="J45">
        <f t="shared" si="4"/>
        <v>90.694084913066803</v>
      </c>
    </row>
    <row r="46" spans="1:10" x14ac:dyDescent="0.3">
      <c r="A46">
        <v>4.3</v>
      </c>
      <c r="B46">
        <f t="shared" si="5"/>
        <v>75.227613999999804</v>
      </c>
      <c r="C46">
        <f t="shared" si="7"/>
        <v>1128.414209999997</v>
      </c>
      <c r="D46">
        <f>MATCH(B46,Battery!B:B,-1)</f>
        <v>14</v>
      </c>
      <c r="E46" cm="1">
        <f t="array" ref="E46">INDEX(Battery!C:C,D46+1)+(INDEX(Battery!C:C,D46)-INDEX(Battery!C:C,D46+1))/(INDEX(Battery!B:B,D46)-INDEX(Battery!C:C,B46+1))*(B46-INDEX(Battery!C:C,B46+1))</f>
        <v>3.9119843327110861</v>
      </c>
      <c r="F46">
        <f t="shared" si="2"/>
        <v>3.5750000000000002</v>
      </c>
      <c r="G46">
        <f>MATCH(F46,Load!A:A,-1)</f>
        <v>9</v>
      </c>
      <c r="H46">
        <f t="shared" si="3"/>
        <v>86.415300000000016</v>
      </c>
      <c r="I46">
        <f t="shared" si="6"/>
        <v>8.6415300000000475</v>
      </c>
      <c r="J46">
        <f t="shared" si="4"/>
        <v>91.385846566579971</v>
      </c>
    </row>
    <row r="47" spans="1:10" x14ac:dyDescent="0.3">
      <c r="A47">
        <v>4.4000000000000004</v>
      </c>
      <c r="B47">
        <f t="shared" si="5"/>
        <v>74.651511999999784</v>
      </c>
      <c r="C47">
        <f t="shared" si="7"/>
        <v>1119.7726799999969</v>
      </c>
      <c r="D47">
        <f>MATCH(B47,Battery!B:B,-1)</f>
        <v>14</v>
      </c>
      <c r="E47" cm="1">
        <f t="array" ref="E47">INDEX(Battery!C:C,D47+1)+(INDEX(Battery!C:C,D47)-INDEX(Battery!C:C,D47+1))/(INDEX(Battery!B:B,D47)-INDEX(Battery!C:C,B47+1))*(B47-INDEX(Battery!C:C,B47+1))</f>
        <v>3.9117103006132625</v>
      </c>
      <c r="F47">
        <f t="shared" si="2"/>
        <v>3.5750000000000002</v>
      </c>
      <c r="G47">
        <f>MATCH(F47,Load!A:A,-1)</f>
        <v>9</v>
      </c>
      <c r="H47">
        <f t="shared" si="3"/>
        <v>86.415300000000016</v>
      </c>
      <c r="I47">
        <f t="shared" si="6"/>
        <v>8.6415299999999711</v>
      </c>
      <c r="J47">
        <f t="shared" si="4"/>
        <v>91.392248537411518</v>
      </c>
    </row>
    <row r="48" spans="1:10" x14ac:dyDescent="0.3">
      <c r="A48">
        <v>4.5</v>
      </c>
      <c r="B48">
        <f t="shared" si="5"/>
        <v>74.075409999999792</v>
      </c>
      <c r="C48">
        <f t="shared" si="7"/>
        <v>1111.131149999997</v>
      </c>
      <c r="D48">
        <f>MATCH(B48,Battery!B:B,-1)</f>
        <v>14</v>
      </c>
      <c r="E48" cm="1">
        <f t="array" ref="E48">INDEX(Battery!C:C,D48+1)+(INDEX(Battery!C:C,D48)-INDEX(Battery!C:C,D48+1))/(INDEX(Battery!B:B,D48)-INDEX(Battery!C:C,B48+1))*(B48-INDEX(Battery!C:C,B48+1))</f>
        <v>3.9114362685154394</v>
      </c>
      <c r="F48">
        <f t="shared" si="2"/>
        <v>3.5750000000000002</v>
      </c>
      <c r="G48">
        <f>MATCH(F48,Load!A:A,-1)</f>
        <v>9</v>
      </c>
      <c r="H48">
        <f t="shared" si="3"/>
        <v>86.415300000000016</v>
      </c>
      <c r="I48">
        <f t="shared" si="6"/>
        <v>8.6415299999999711</v>
      </c>
      <c r="J48">
        <f t="shared" si="4"/>
        <v>91.398651405276993</v>
      </c>
    </row>
    <row r="49" spans="1:10" x14ac:dyDescent="0.3">
      <c r="A49">
        <v>4.5999999999999996</v>
      </c>
      <c r="B49">
        <f t="shared" si="5"/>
        <v>73.499307999999814</v>
      </c>
      <c r="C49">
        <f t="shared" si="7"/>
        <v>1102.4896199999971</v>
      </c>
      <c r="D49">
        <f>MATCH(B49,Battery!B:B,-1)</f>
        <v>14</v>
      </c>
      <c r="E49" cm="1">
        <f t="array" ref="E49">INDEX(Battery!C:C,D49+1)+(INDEX(Battery!C:C,D49)-INDEX(Battery!C:C,D49+1))/(INDEX(Battery!B:B,D49)-INDEX(Battery!C:C,B49+1))*(B49-INDEX(Battery!C:C,B49+1))</f>
        <v>3.9111622364176157</v>
      </c>
      <c r="F49">
        <f t="shared" si="2"/>
        <v>3.5750000000000002</v>
      </c>
      <c r="G49">
        <f>MATCH(F49,Load!A:A,-1)</f>
        <v>9</v>
      </c>
      <c r="H49">
        <f t="shared" si="3"/>
        <v>86.415300000000016</v>
      </c>
      <c r="I49">
        <f t="shared" si="6"/>
        <v>8.6415300000000475</v>
      </c>
      <c r="J49">
        <f t="shared" si="4"/>
        <v>91.405055170364918</v>
      </c>
    </row>
    <row r="50" spans="1:10" x14ac:dyDescent="0.3">
      <c r="A50">
        <v>4.7</v>
      </c>
      <c r="B50">
        <f t="shared" si="5"/>
        <v>72.923205999999794</v>
      </c>
      <c r="C50">
        <f t="shared" si="7"/>
        <v>1093.848089999997</v>
      </c>
      <c r="D50">
        <f>MATCH(B50,Battery!B:B,-1)</f>
        <v>14</v>
      </c>
      <c r="E50" cm="1">
        <f t="array" ref="E50">INDEX(Battery!C:C,D50+1)+(INDEX(Battery!C:C,D50)-INDEX(Battery!C:C,D50+1))/(INDEX(Battery!B:B,D50)-INDEX(Battery!C:C,B50+1))*(B50-INDEX(Battery!C:C,B50+1))</f>
        <v>3.9108882043197926</v>
      </c>
      <c r="F50">
        <f t="shared" si="2"/>
        <v>3.5750000000000002</v>
      </c>
      <c r="G50">
        <f>MATCH(F50,Load!A:A,-1)</f>
        <v>9</v>
      </c>
      <c r="H50">
        <f t="shared" si="3"/>
        <v>86.415300000000016</v>
      </c>
      <c r="I50">
        <f t="shared" si="6"/>
        <v>8.6415299999999711</v>
      </c>
      <c r="J50">
        <f t="shared" si="4"/>
        <v>91.411459832863912</v>
      </c>
    </row>
    <row r="51" spans="1:10" x14ac:dyDescent="0.3">
      <c r="A51">
        <v>4.8</v>
      </c>
      <c r="B51">
        <f t="shared" si="5"/>
        <v>72.347103999999803</v>
      </c>
      <c r="C51">
        <f t="shared" si="7"/>
        <v>1085.2065599999971</v>
      </c>
      <c r="D51">
        <f>MATCH(B51,Battery!B:B,-1)</f>
        <v>14</v>
      </c>
      <c r="E51" cm="1">
        <f t="array" ref="E51">INDEX(Battery!C:C,D51+1)+(INDEX(Battery!C:C,D51)-INDEX(Battery!C:C,D51+1))/(INDEX(Battery!B:B,D51)-INDEX(Battery!C:C,B51+1))*(B51-INDEX(Battery!C:C,B51+1))</f>
        <v>3.9106141722219689</v>
      </c>
      <c r="F51">
        <f t="shared" si="2"/>
        <v>3.5750000000000002</v>
      </c>
      <c r="G51">
        <f>MATCH(F51,Load!A:A,-1)</f>
        <v>9</v>
      </c>
      <c r="H51">
        <f t="shared" si="3"/>
        <v>86.415300000000016</v>
      </c>
      <c r="I51">
        <f t="shared" si="6"/>
        <v>8.6415300000000475</v>
      </c>
      <c r="J51">
        <f t="shared" si="4"/>
        <v>91.417865392962653</v>
      </c>
    </row>
    <row r="52" spans="1:10" x14ac:dyDescent="0.3">
      <c r="A52">
        <v>4.9000000000000004</v>
      </c>
      <c r="B52">
        <f t="shared" si="5"/>
        <v>71.771001999999811</v>
      </c>
      <c r="C52">
        <f t="shared" si="7"/>
        <v>1076.565029999997</v>
      </c>
      <c r="D52">
        <f>MATCH(B52,Battery!B:B,-1)</f>
        <v>14</v>
      </c>
      <c r="E52" cm="1">
        <f t="array" ref="E52">INDEX(Battery!C:C,D52+1)+(INDEX(Battery!C:C,D52)-INDEX(Battery!C:C,D52+1))/(INDEX(Battery!B:B,D52)-INDEX(Battery!C:C,B52+1))*(B52-INDEX(Battery!C:C,B52+1))</f>
        <v>3.9103401401241458</v>
      </c>
      <c r="F52">
        <f t="shared" si="2"/>
        <v>3.5750000000000002</v>
      </c>
      <c r="G52">
        <f>MATCH(F52,Load!A:A,-1)</f>
        <v>9</v>
      </c>
      <c r="H52">
        <f t="shared" si="3"/>
        <v>86.415300000000016</v>
      </c>
      <c r="I52">
        <f t="shared" si="6"/>
        <v>8.6415299999999711</v>
      </c>
      <c r="J52">
        <f t="shared" si="4"/>
        <v>91.424271850849806</v>
      </c>
    </row>
    <row r="53" spans="1:10" x14ac:dyDescent="0.3">
      <c r="A53">
        <v>5</v>
      </c>
      <c r="B53">
        <f t="shared" si="5"/>
        <v>71.194899999999805</v>
      </c>
      <c r="C53">
        <f t="shared" si="7"/>
        <v>1067.9234999999971</v>
      </c>
      <c r="D53">
        <f>MATCH(B53,Battery!B:B,-1)</f>
        <v>15</v>
      </c>
      <c r="E53" cm="1">
        <f t="array" ref="E53">INDEX(Battery!C:C,D53+1)+(INDEX(Battery!C:C,D53)-INDEX(Battery!C:C,D53+1))/(INDEX(Battery!B:B,D53)-INDEX(Battery!C:C,B53+1))*(B53-INDEX(Battery!C:C,B53+1))</f>
        <v>3.8761384017737366</v>
      </c>
      <c r="F53">
        <f t="shared" si="2"/>
        <v>3.5750000000000002</v>
      </c>
      <c r="G53">
        <f>MATCH(F53,Load!A:A,-1)</f>
        <v>9</v>
      </c>
      <c r="H53">
        <f t="shared" si="3"/>
        <v>86.415300000000016</v>
      </c>
      <c r="I53">
        <f t="shared" si="6"/>
        <v>8.6415299999999711</v>
      </c>
      <c r="J53">
        <f t="shared" si="4"/>
        <v>92.230968800393356</v>
      </c>
    </row>
    <row r="54" spans="1:10" x14ac:dyDescent="0.3">
      <c r="A54">
        <v>5.0999999999999996</v>
      </c>
      <c r="B54">
        <f t="shared" si="5"/>
        <v>70.618797999999813</v>
      </c>
      <c r="C54">
        <f t="shared" si="7"/>
        <v>1059.2819699999973</v>
      </c>
      <c r="D54">
        <f>MATCH(B54,Battery!B:B,-1)</f>
        <v>15</v>
      </c>
      <c r="E54" cm="1">
        <f t="array" ref="E54">INDEX(Battery!C:C,D54+1)+(INDEX(Battery!C:C,D54)-INDEX(Battery!C:C,D54+1))/(INDEX(Battery!B:B,D54)-INDEX(Battery!C:C,B54+1))*(B54-INDEX(Battery!C:C,B54+1))</f>
        <v>3.8758984128886955</v>
      </c>
      <c r="F54">
        <f t="shared" si="2"/>
        <v>3.5750000000000002</v>
      </c>
      <c r="G54">
        <f>MATCH(F54,Load!A:A,-1)</f>
        <v>9</v>
      </c>
      <c r="H54">
        <f t="shared" si="3"/>
        <v>86.415300000000016</v>
      </c>
      <c r="I54">
        <f t="shared" si="6"/>
        <v>8.6415300000000475</v>
      </c>
      <c r="J54">
        <f t="shared" si="4"/>
        <v>92.236679581484779</v>
      </c>
    </row>
    <row r="55" spans="1:10" x14ac:dyDescent="0.3">
      <c r="A55">
        <v>5.2</v>
      </c>
      <c r="B55">
        <f t="shared" si="5"/>
        <v>70.042695999999822</v>
      </c>
      <c r="C55">
        <f t="shared" si="7"/>
        <v>1050.6404399999972</v>
      </c>
      <c r="D55">
        <f>MATCH(B55,Battery!B:B,-1)</f>
        <v>15</v>
      </c>
      <c r="E55" cm="1">
        <f t="array" ref="E55">INDEX(Battery!C:C,D55+1)+(INDEX(Battery!C:C,D55)-INDEX(Battery!C:C,D55+1))/(INDEX(Battery!B:B,D55)-INDEX(Battery!C:C,B55+1))*(B55-INDEX(Battery!C:C,B55+1))</f>
        <v>3.8756584240036545</v>
      </c>
      <c r="F55">
        <f t="shared" si="2"/>
        <v>3.5750000000000002</v>
      </c>
      <c r="G55">
        <f>MATCH(F55,Load!A:A,-1)</f>
        <v>9</v>
      </c>
      <c r="H55">
        <f t="shared" si="3"/>
        <v>86.415300000000016</v>
      </c>
      <c r="I55">
        <f t="shared" si="6"/>
        <v>8.6415299999999711</v>
      </c>
      <c r="J55">
        <f t="shared" si="4"/>
        <v>92.24239106982327</v>
      </c>
    </row>
    <row r="56" spans="1:10" x14ac:dyDescent="0.3">
      <c r="A56">
        <v>5.3</v>
      </c>
      <c r="B56">
        <f t="shared" si="5"/>
        <v>69.466593999999816</v>
      </c>
      <c r="C56">
        <f t="shared" si="7"/>
        <v>1041.9989099999973</v>
      </c>
      <c r="D56">
        <f>MATCH(B56,Battery!B:B,-1)</f>
        <v>15</v>
      </c>
      <c r="E56" cm="1">
        <f t="array" ref="E56">INDEX(Battery!C:C,D56+1)+(INDEX(Battery!C:C,D56)-INDEX(Battery!C:C,D56+1))/(INDEX(Battery!B:B,D56)-INDEX(Battery!C:C,B56+1))*(B56-INDEX(Battery!C:C,B56+1))</f>
        <v>3.8754184351186134</v>
      </c>
      <c r="F56">
        <f t="shared" si="2"/>
        <v>3.5750000000000002</v>
      </c>
      <c r="G56">
        <f>MATCH(F56,Load!A:A,-1)</f>
        <v>9</v>
      </c>
      <c r="H56">
        <f t="shared" si="3"/>
        <v>86.415300000000016</v>
      </c>
      <c r="I56">
        <f t="shared" si="6"/>
        <v>8.6415300000000475</v>
      </c>
      <c r="J56">
        <f t="shared" si="4"/>
        <v>92.248103265540209</v>
      </c>
    </row>
    <row r="57" spans="1:10" x14ac:dyDescent="0.3">
      <c r="A57">
        <v>5.4</v>
      </c>
      <c r="B57">
        <f t="shared" si="5"/>
        <v>68.89049199999981</v>
      </c>
      <c r="C57">
        <f t="shared" si="7"/>
        <v>1033.3573799999972</v>
      </c>
      <c r="D57">
        <f>MATCH(B57,Battery!B:B,-1)</f>
        <v>15</v>
      </c>
      <c r="E57" cm="1">
        <f t="array" ref="E57">INDEX(Battery!C:C,D57+1)+(INDEX(Battery!C:C,D57)-INDEX(Battery!C:C,D57+1))/(INDEX(Battery!B:B,D57)-INDEX(Battery!C:C,B57+1))*(B57-INDEX(Battery!C:C,B57+1))</f>
        <v>3.8751784462335723</v>
      </c>
      <c r="F57">
        <f t="shared" si="2"/>
        <v>3.5750000000000002</v>
      </c>
      <c r="G57">
        <f>MATCH(F57,Load!A:A,-1)</f>
        <v>9</v>
      </c>
      <c r="H57">
        <f t="shared" si="3"/>
        <v>86.415300000000016</v>
      </c>
      <c r="I57">
        <f t="shared" si="6"/>
        <v>8.6415299999999711</v>
      </c>
      <c r="J57">
        <f t="shared" si="4"/>
        <v>92.253816168766974</v>
      </c>
    </row>
    <row r="58" spans="1:10" x14ac:dyDescent="0.3">
      <c r="A58">
        <v>5.5</v>
      </c>
      <c r="B58">
        <f t="shared" si="5"/>
        <v>68.314389999999818</v>
      </c>
      <c r="C58">
        <f t="shared" si="7"/>
        <v>1024.7158499999973</v>
      </c>
      <c r="D58">
        <f>MATCH(B58,Battery!B:B,-1)</f>
        <v>15</v>
      </c>
      <c r="E58" cm="1">
        <f t="array" ref="E58">INDEX(Battery!C:C,D58+1)+(INDEX(Battery!C:C,D58)-INDEX(Battery!C:C,D58+1))/(INDEX(Battery!B:B,D58)-INDEX(Battery!C:C,B58+1))*(B58-INDEX(Battery!C:C,B58+1))</f>
        <v>3.8749384573485313</v>
      </c>
      <c r="F58">
        <f t="shared" si="2"/>
        <v>3.5750000000000002</v>
      </c>
      <c r="G58">
        <f>MATCH(F58,Load!A:A,-1)</f>
        <v>9</v>
      </c>
      <c r="H58">
        <f t="shared" si="3"/>
        <v>86.415300000000016</v>
      </c>
      <c r="I58">
        <f t="shared" si="6"/>
        <v>8.6415299999999711</v>
      </c>
      <c r="J58">
        <f t="shared" si="4"/>
        <v>92.259529779635074</v>
      </c>
    </row>
    <row r="59" spans="1:10" x14ac:dyDescent="0.3">
      <c r="A59">
        <v>5.6</v>
      </c>
      <c r="B59">
        <f t="shared" si="5"/>
        <v>67.738287999999827</v>
      </c>
      <c r="C59">
        <f t="shared" si="7"/>
        <v>1016.0743199999973</v>
      </c>
      <c r="D59">
        <f>MATCH(B59,Battery!B:B,-1)</f>
        <v>15</v>
      </c>
      <c r="E59" cm="1">
        <f t="array" ref="E59">INDEX(Battery!C:C,D59+1)+(INDEX(Battery!C:C,D59)-INDEX(Battery!C:C,D59+1))/(INDEX(Battery!B:B,D59)-INDEX(Battery!C:C,B59+1))*(B59-INDEX(Battery!C:C,B59+1))</f>
        <v>3.8746984684634902</v>
      </c>
      <c r="F59">
        <f t="shared" si="2"/>
        <v>3.5750000000000002</v>
      </c>
      <c r="G59">
        <f>MATCH(F59,Load!A:A,-1)</f>
        <v>9</v>
      </c>
      <c r="H59">
        <f t="shared" si="3"/>
        <v>86.415300000000016</v>
      </c>
      <c r="I59">
        <f t="shared" si="6"/>
        <v>8.6415300000000475</v>
      </c>
      <c r="J59">
        <f t="shared" si="4"/>
        <v>92.265244098275986</v>
      </c>
    </row>
    <row r="60" spans="1:10" x14ac:dyDescent="0.3">
      <c r="A60">
        <v>5.7</v>
      </c>
      <c r="B60">
        <f t="shared" si="5"/>
        <v>67.162185999999807</v>
      </c>
      <c r="C60">
        <f t="shared" si="7"/>
        <v>1007.4327899999972</v>
      </c>
      <c r="D60">
        <f>MATCH(B60,Battery!B:B,-1)</f>
        <v>15</v>
      </c>
      <c r="E60" cm="1">
        <f t="array" ref="E60">INDEX(Battery!C:C,D60+1)+(INDEX(Battery!C:C,D60)-INDEX(Battery!C:C,D60+1))/(INDEX(Battery!B:B,D60)-INDEX(Battery!C:C,B60+1))*(B60-INDEX(Battery!C:C,B60+1))</f>
        <v>3.8744584795784491</v>
      </c>
      <c r="F60">
        <f t="shared" si="2"/>
        <v>3.5750000000000002</v>
      </c>
      <c r="G60">
        <f>MATCH(F60,Load!A:A,-1)</f>
        <v>9</v>
      </c>
      <c r="H60">
        <f t="shared" si="3"/>
        <v>86.415300000000016</v>
      </c>
      <c r="I60">
        <f t="shared" si="6"/>
        <v>8.6415299999999711</v>
      </c>
      <c r="J60">
        <f t="shared" si="4"/>
        <v>92.270959124821218</v>
      </c>
    </row>
    <row r="61" spans="1:10" x14ac:dyDescent="0.3">
      <c r="A61">
        <v>5.8</v>
      </c>
      <c r="B61">
        <f t="shared" si="5"/>
        <v>66.586083999999815</v>
      </c>
      <c r="C61">
        <f t="shared" si="7"/>
        <v>998.79125999999724</v>
      </c>
      <c r="D61">
        <f>MATCH(B61,Battery!B:B,-1)</f>
        <v>15</v>
      </c>
      <c r="E61" cm="1">
        <f t="array" ref="E61">INDEX(Battery!C:C,D61+1)+(INDEX(Battery!C:C,D61)-INDEX(Battery!C:C,D61+1))/(INDEX(Battery!B:B,D61)-INDEX(Battery!C:C,B61+1))*(B61-INDEX(Battery!C:C,B61+1))</f>
        <v>3.8742184906934081</v>
      </c>
      <c r="F61">
        <f t="shared" si="2"/>
        <v>3.5750000000000002</v>
      </c>
      <c r="G61">
        <f>MATCH(F61,Load!A:A,-1)</f>
        <v>9</v>
      </c>
      <c r="H61">
        <f t="shared" si="3"/>
        <v>86.415300000000016</v>
      </c>
      <c r="I61">
        <f t="shared" si="6"/>
        <v>8.6415300000000475</v>
      </c>
      <c r="J61">
        <f t="shared" si="4"/>
        <v>92.27667485940232</v>
      </c>
    </row>
    <row r="62" spans="1:10" x14ac:dyDescent="0.3">
      <c r="A62">
        <v>5.9</v>
      </c>
      <c r="B62">
        <f t="shared" si="5"/>
        <v>66.009981999999809</v>
      </c>
      <c r="C62">
        <f t="shared" si="7"/>
        <v>990.14972999999713</v>
      </c>
      <c r="D62">
        <f>MATCH(B62,Battery!B:B,-1)</f>
        <v>16</v>
      </c>
      <c r="E62" cm="1">
        <f t="array" ref="E62">INDEX(Battery!C:C,D62+1)+(INDEX(Battery!C:C,D62)-INDEX(Battery!C:C,D62+1))/(INDEX(Battery!B:B,D62)-INDEX(Battery!C:C,B62+1))*(B62-INDEX(Battery!C:C,B62+1))</f>
        <v>3.8462539202183867</v>
      </c>
      <c r="F62">
        <f t="shared" si="2"/>
        <v>3.5750000000000002</v>
      </c>
      <c r="G62">
        <f>MATCH(F62,Load!A:A,-1)</f>
        <v>9</v>
      </c>
      <c r="H62">
        <f t="shared" si="3"/>
        <v>86.415300000000016</v>
      </c>
      <c r="I62">
        <f t="shared" si="6"/>
        <v>8.6415299999999711</v>
      </c>
      <c r="J62">
        <f t="shared" si="4"/>
        <v>92.947581573007923</v>
      </c>
    </row>
    <row r="63" spans="1:10" x14ac:dyDescent="0.3">
      <c r="A63">
        <v>6</v>
      </c>
      <c r="B63">
        <f t="shared" si="5"/>
        <v>65.433879999999817</v>
      </c>
      <c r="C63">
        <f t="shared" si="7"/>
        <v>981.50819999999715</v>
      </c>
      <c r="D63">
        <f>MATCH(B63,Battery!B:B,-1)</f>
        <v>16</v>
      </c>
      <c r="E63" cm="1">
        <f t="array" ref="E63">INDEX(Battery!C:C,D63+1)+(INDEX(Battery!C:C,D63)-INDEX(Battery!C:C,D63+1))/(INDEX(Battery!B:B,D63)-INDEX(Battery!C:C,B63+1))*(B63-INDEX(Battery!C:C,B63+1))</f>
        <v>3.8460101620182621</v>
      </c>
      <c r="F63">
        <f t="shared" si="2"/>
        <v>3.5750000000000002</v>
      </c>
      <c r="G63">
        <f>MATCH(F63,Load!A:A,-1)</f>
        <v>9</v>
      </c>
      <c r="H63">
        <f t="shared" si="3"/>
        <v>86.415300000000016</v>
      </c>
      <c r="I63">
        <f t="shared" si="6"/>
        <v>8.6415299999999711</v>
      </c>
      <c r="J63">
        <f t="shared" si="4"/>
        <v>92.953472544231545</v>
      </c>
    </row>
    <row r="64" spans="1:10" x14ac:dyDescent="0.3">
      <c r="A64">
        <v>6.1</v>
      </c>
      <c r="B64">
        <f t="shared" si="5"/>
        <v>64.857777999999811</v>
      </c>
      <c r="C64">
        <f t="shared" si="7"/>
        <v>972.86666999999716</v>
      </c>
      <c r="D64">
        <f>MATCH(B64,Battery!B:B,-1)</f>
        <v>16</v>
      </c>
      <c r="E64" cm="1">
        <f t="array" ref="E64">INDEX(Battery!C:C,D64+1)+(INDEX(Battery!C:C,D64)-INDEX(Battery!C:C,D64+1))/(INDEX(Battery!B:B,D64)-INDEX(Battery!C:C,B64+1))*(B64-INDEX(Battery!C:C,B64+1))</f>
        <v>3.8457664038181374</v>
      </c>
      <c r="F64">
        <f t="shared" si="2"/>
        <v>3.5750000000000002</v>
      </c>
      <c r="G64">
        <f>MATCH(F64,Load!A:A,-1)</f>
        <v>9</v>
      </c>
      <c r="H64">
        <f t="shared" si="3"/>
        <v>86.415300000000016</v>
      </c>
      <c r="I64">
        <f t="shared" si="6"/>
        <v>8.6415300000000475</v>
      </c>
      <c r="J64">
        <f t="shared" si="4"/>
        <v>92.959364262236093</v>
      </c>
    </row>
    <row r="65" spans="1:10" x14ac:dyDescent="0.3">
      <c r="A65">
        <v>6.2</v>
      </c>
      <c r="B65">
        <f t="shared" si="5"/>
        <v>64.281675999999806</v>
      </c>
      <c r="C65">
        <f t="shared" si="7"/>
        <v>964.22513999999705</v>
      </c>
      <c r="D65">
        <f>MATCH(B65,Battery!B:B,-1)</f>
        <v>16</v>
      </c>
      <c r="E65" cm="1">
        <f t="array" ref="E65">INDEX(Battery!C:C,D65+1)+(INDEX(Battery!C:C,D65)-INDEX(Battery!C:C,D65+1))/(INDEX(Battery!B:B,D65)-INDEX(Battery!C:C,B65+1))*(B65-INDEX(Battery!C:C,B65+1))</f>
        <v>3.8455226456180127</v>
      </c>
      <c r="F65">
        <f t="shared" si="2"/>
        <v>3.5750000000000002</v>
      </c>
      <c r="G65">
        <f>MATCH(F65,Load!A:A,-1)</f>
        <v>9</v>
      </c>
      <c r="H65">
        <f t="shared" si="3"/>
        <v>86.415300000000016</v>
      </c>
      <c r="I65">
        <f t="shared" si="6"/>
        <v>8.6415299999999711</v>
      </c>
      <c r="J65">
        <f t="shared" si="4"/>
        <v>92.96525672716362</v>
      </c>
    </row>
    <row r="66" spans="1:10" x14ac:dyDescent="0.3">
      <c r="A66">
        <v>6.3</v>
      </c>
      <c r="B66">
        <f t="shared" si="5"/>
        <v>63.705573999999807</v>
      </c>
      <c r="C66">
        <f t="shared" si="7"/>
        <v>955.58360999999707</v>
      </c>
      <c r="D66">
        <f>MATCH(B66,Battery!B:B,-1)</f>
        <v>16</v>
      </c>
      <c r="E66" cm="1">
        <f t="array" ref="E66">INDEX(Battery!C:C,D66+1)+(INDEX(Battery!C:C,D66)-INDEX(Battery!C:C,D66+1))/(INDEX(Battery!B:B,D66)-INDEX(Battery!C:C,B66+1))*(B66-INDEX(Battery!C:C,B66+1))</f>
        <v>3.845278887417888</v>
      </c>
      <c r="F66">
        <f t="shared" si="2"/>
        <v>3.5750000000000002</v>
      </c>
      <c r="G66">
        <f>MATCH(F66,Load!A:A,-1)</f>
        <v>9</v>
      </c>
      <c r="H66">
        <f t="shared" si="3"/>
        <v>86.415300000000016</v>
      </c>
      <c r="I66">
        <f t="shared" si="6"/>
        <v>8.6415300000000475</v>
      </c>
      <c r="J66">
        <f t="shared" si="4"/>
        <v>92.971149939156163</v>
      </c>
    </row>
    <row r="67" spans="1:10" x14ac:dyDescent="0.3">
      <c r="A67">
        <v>6.4</v>
      </c>
      <c r="B67">
        <f t="shared" si="5"/>
        <v>63.129471999999801</v>
      </c>
      <c r="C67">
        <f t="shared" si="7"/>
        <v>946.94207999999696</v>
      </c>
      <c r="D67">
        <f>MATCH(B67,Battery!B:B,-1)</f>
        <v>16</v>
      </c>
      <c r="E67" cm="1">
        <f t="array" ref="E67">INDEX(Battery!C:C,D67+1)+(INDEX(Battery!C:C,D67)-INDEX(Battery!C:C,D67+1))/(INDEX(Battery!B:B,D67)-INDEX(Battery!C:C,B67+1))*(B67-INDEX(Battery!C:C,B67+1))</f>
        <v>3.8450351292177634</v>
      </c>
      <c r="F67">
        <f t="shared" si="2"/>
        <v>3.5750000000000002</v>
      </c>
      <c r="G67">
        <f>MATCH(F67,Load!A:A,-1)</f>
        <v>9</v>
      </c>
      <c r="H67">
        <f t="shared" si="3"/>
        <v>86.415300000000016</v>
      </c>
      <c r="I67">
        <f t="shared" ref="I67:I98" si="8">H67*(A68-A67)</f>
        <v>8.6415299999999711</v>
      </c>
      <c r="J67">
        <f t="shared" si="4"/>
        <v>92.977043898355774</v>
      </c>
    </row>
    <row r="68" spans="1:10" x14ac:dyDescent="0.3">
      <c r="A68">
        <v>6.5</v>
      </c>
      <c r="B68">
        <f t="shared" si="5"/>
        <v>62.553369999999795</v>
      </c>
      <c r="C68">
        <f t="shared" ref="C68:C99" si="9">C67-I67</f>
        <v>938.30054999999697</v>
      </c>
      <c r="D68">
        <f>MATCH(B68,Battery!B:B,-1)</f>
        <v>16</v>
      </c>
      <c r="E68" cm="1">
        <f t="array" ref="E68">INDEX(Battery!C:C,D68+1)+(INDEX(Battery!C:C,D68)-INDEX(Battery!C:C,D68+1))/(INDEX(Battery!B:B,D68)-INDEX(Battery!C:C,B68+1))*(B68-INDEX(Battery!C:C,B68+1))</f>
        <v>3.8447913710176387</v>
      </c>
      <c r="F68">
        <f t="shared" ref="F68:F131" si="10">MIN($L$3,E68-$M$3)-$N$3</f>
        <v>3.5750000000000002</v>
      </c>
      <c r="G68">
        <f>MATCH(F68,Load!A:A,-1)</f>
        <v>9</v>
      </c>
      <c r="H68">
        <f t="shared" ref="H68:H131" si="11" xml:space="preserve"> 22.6* F68+ 5.5703+$O$3*0.001</f>
        <v>86.415300000000016</v>
      </c>
      <c r="I68">
        <f t="shared" si="8"/>
        <v>8.6415299999999711</v>
      </c>
      <c r="J68">
        <f t="shared" ref="J68:J131" si="12">(H68*F68)/(E68*H68)*100</f>
        <v>92.982938604904604</v>
      </c>
    </row>
    <row r="69" spans="1:10" x14ac:dyDescent="0.3">
      <c r="A69">
        <v>6.6</v>
      </c>
      <c r="B69">
        <f t="shared" si="5"/>
        <v>61.977267999999796</v>
      </c>
      <c r="C69">
        <f t="shared" si="9"/>
        <v>929.65901999999699</v>
      </c>
      <c r="D69">
        <f>MATCH(B69,Battery!B:B,-1)</f>
        <v>16</v>
      </c>
      <c r="E69" cm="1">
        <f t="array" ref="E69">INDEX(Battery!C:C,D69+1)+(INDEX(Battery!C:C,D69)-INDEX(Battery!C:C,D69+1))/(INDEX(Battery!B:B,D69)-INDEX(Battery!C:C,B69+1))*(B69-INDEX(Battery!C:C,B69+1))</f>
        <v>3.8445476128175144</v>
      </c>
      <c r="F69">
        <f t="shared" si="10"/>
        <v>3.5750000000000002</v>
      </c>
      <c r="G69">
        <f>MATCH(F69,Load!A:A,-1)</f>
        <v>9</v>
      </c>
      <c r="H69">
        <f t="shared" si="11"/>
        <v>86.415300000000016</v>
      </c>
      <c r="I69">
        <f t="shared" si="8"/>
        <v>8.6415300000000475</v>
      </c>
      <c r="J69">
        <f t="shared" si="12"/>
        <v>92.988834058944761</v>
      </c>
    </row>
    <row r="70" spans="1:10" x14ac:dyDescent="0.3">
      <c r="A70">
        <v>6.7</v>
      </c>
      <c r="B70">
        <f t="shared" si="5"/>
        <v>61.401165999999797</v>
      </c>
      <c r="C70">
        <f t="shared" si="9"/>
        <v>921.01748999999688</v>
      </c>
      <c r="D70">
        <f>MATCH(B70,Battery!B:B,-1)</f>
        <v>16</v>
      </c>
      <c r="E70" cm="1">
        <f t="array" ref="E70">INDEX(Battery!C:C,D70+1)+(INDEX(Battery!C:C,D70)-INDEX(Battery!C:C,D70+1))/(INDEX(Battery!B:B,D70)-INDEX(Battery!C:C,B70+1))*(B70-INDEX(Battery!C:C,B70+1))</f>
        <v>3.8443038546173898</v>
      </c>
      <c r="F70">
        <f t="shared" si="10"/>
        <v>3.5750000000000002</v>
      </c>
      <c r="G70">
        <f>MATCH(F70,Load!A:A,-1)</f>
        <v>9</v>
      </c>
      <c r="H70">
        <f t="shared" si="11"/>
        <v>86.415300000000016</v>
      </c>
      <c r="I70">
        <f t="shared" si="8"/>
        <v>8.6415299999999711</v>
      </c>
      <c r="J70">
        <f t="shared" si="12"/>
        <v>92.994730260618482</v>
      </c>
    </row>
    <row r="71" spans="1:10" x14ac:dyDescent="0.3">
      <c r="A71">
        <v>6.8</v>
      </c>
      <c r="B71">
        <f t="shared" si="5"/>
        <v>60.825063999999799</v>
      </c>
      <c r="C71">
        <f t="shared" si="9"/>
        <v>912.37595999999689</v>
      </c>
      <c r="D71">
        <f>MATCH(B71,Battery!B:B,-1)</f>
        <v>17</v>
      </c>
      <c r="E71" cm="1">
        <f t="array" ref="E71">INDEX(Battery!C:C,D71+1)+(INDEX(Battery!C:C,D71)-INDEX(Battery!C:C,D71+1))/(INDEX(Battery!B:B,D71)-INDEX(Battery!C:C,B71+1))*(B71-INDEX(Battery!C:C,B71+1))</f>
        <v>3.8181140742085198</v>
      </c>
      <c r="F71">
        <f t="shared" si="10"/>
        <v>3.5750000000000002</v>
      </c>
      <c r="G71">
        <f>MATCH(F71,Load!A:A,-1)</f>
        <v>9</v>
      </c>
      <c r="H71">
        <f t="shared" si="11"/>
        <v>86.415300000000016</v>
      </c>
      <c r="I71">
        <f t="shared" si="8"/>
        <v>8.6415300000000475</v>
      </c>
      <c r="J71">
        <f t="shared" si="12"/>
        <v>93.63261365471601</v>
      </c>
    </row>
    <row r="72" spans="1:10" x14ac:dyDescent="0.3">
      <c r="A72">
        <v>6.9</v>
      </c>
      <c r="B72">
        <f t="shared" si="5"/>
        <v>60.248961999999786</v>
      </c>
      <c r="C72">
        <f t="shared" si="9"/>
        <v>903.73442999999679</v>
      </c>
      <c r="D72">
        <f>MATCH(B72,Battery!B:B,-1)</f>
        <v>17</v>
      </c>
      <c r="E72" cm="1">
        <f t="array" ref="E72">INDEX(Battery!C:C,D72+1)+(INDEX(Battery!C:C,D72)-INDEX(Battery!C:C,D72+1))/(INDEX(Battery!B:B,D72)-INDEX(Battery!C:C,B72+1))*(B72-INDEX(Battery!C:C,B72+1))</f>
        <v>3.8178641964269433</v>
      </c>
      <c r="F72">
        <f t="shared" si="10"/>
        <v>3.5750000000000002</v>
      </c>
      <c r="G72">
        <f>MATCH(F72,Load!A:A,-1)</f>
        <v>9</v>
      </c>
      <c r="H72">
        <f t="shared" si="11"/>
        <v>86.415300000000016</v>
      </c>
      <c r="I72">
        <f t="shared" si="8"/>
        <v>8.6415299999999711</v>
      </c>
      <c r="J72">
        <f t="shared" si="12"/>
        <v>93.638741874207213</v>
      </c>
    </row>
    <row r="73" spans="1:10" x14ac:dyDescent="0.3">
      <c r="A73">
        <v>7</v>
      </c>
      <c r="B73">
        <f t="shared" si="5"/>
        <v>59.672859999999787</v>
      </c>
      <c r="C73">
        <f t="shared" si="9"/>
        <v>895.0928999999968</v>
      </c>
      <c r="D73">
        <f>MATCH(B73,Battery!B:B,-1)</f>
        <v>17</v>
      </c>
      <c r="E73" cm="1">
        <f t="array" ref="E73">INDEX(Battery!C:C,D73+1)+(INDEX(Battery!C:C,D73)-INDEX(Battery!C:C,D73+1))/(INDEX(Battery!B:B,D73)-INDEX(Battery!C:C,B73+1))*(B73-INDEX(Battery!C:C,B73+1))</f>
        <v>3.8176143186453668</v>
      </c>
      <c r="F73">
        <f t="shared" si="10"/>
        <v>3.5750000000000002</v>
      </c>
      <c r="G73">
        <f>MATCH(F73,Load!A:A,-1)</f>
        <v>9</v>
      </c>
      <c r="H73">
        <f t="shared" si="11"/>
        <v>86.415300000000016</v>
      </c>
      <c r="I73">
        <f t="shared" si="8"/>
        <v>8.6415299999999711</v>
      </c>
      <c r="J73">
        <f t="shared" si="12"/>
        <v>93.644870895930225</v>
      </c>
    </row>
    <row r="74" spans="1:10" x14ac:dyDescent="0.3">
      <c r="A74">
        <v>7.1</v>
      </c>
      <c r="B74">
        <f t="shared" si="5"/>
        <v>59.096757999999781</v>
      </c>
      <c r="C74">
        <f t="shared" si="9"/>
        <v>886.45136999999681</v>
      </c>
      <c r="D74">
        <f>MATCH(B74,Battery!B:B,-1)</f>
        <v>17</v>
      </c>
      <c r="E74" cm="1">
        <f t="array" ref="E74">INDEX(Battery!C:C,D74+1)+(INDEX(Battery!C:C,D74)-INDEX(Battery!C:C,D74+1))/(INDEX(Battery!B:B,D74)-INDEX(Battery!C:C,B74+1))*(B74-INDEX(Battery!C:C,B74+1))</f>
        <v>3.8173644408637903</v>
      </c>
      <c r="F74">
        <f t="shared" si="10"/>
        <v>3.5750000000000002</v>
      </c>
      <c r="G74">
        <f>MATCH(F74,Load!A:A,-1)</f>
        <v>9</v>
      </c>
      <c r="H74">
        <f t="shared" si="11"/>
        <v>86.415300000000016</v>
      </c>
      <c r="I74">
        <f t="shared" si="8"/>
        <v>8.6415300000000475</v>
      </c>
      <c r="J74">
        <f t="shared" si="12"/>
        <v>93.651000720042646</v>
      </c>
    </row>
    <row r="75" spans="1:10" x14ac:dyDescent="0.3">
      <c r="A75">
        <v>7.2</v>
      </c>
      <c r="B75">
        <f t="shared" si="5"/>
        <v>58.520655999999782</v>
      </c>
      <c r="C75">
        <f t="shared" si="9"/>
        <v>877.80983999999671</v>
      </c>
      <c r="D75">
        <f>MATCH(B75,Battery!B:B,-1)</f>
        <v>17</v>
      </c>
      <c r="E75" cm="1">
        <f t="array" ref="E75">INDEX(Battery!C:C,D75+1)+(INDEX(Battery!C:C,D75)-INDEX(Battery!C:C,D75+1))/(INDEX(Battery!B:B,D75)-INDEX(Battery!C:C,B75+1))*(B75-INDEX(Battery!C:C,B75+1))</f>
        <v>3.8171145630822139</v>
      </c>
      <c r="F75">
        <f t="shared" si="10"/>
        <v>3.5750000000000002</v>
      </c>
      <c r="G75">
        <f>MATCH(F75,Load!A:A,-1)</f>
        <v>9</v>
      </c>
      <c r="H75">
        <f t="shared" si="11"/>
        <v>86.415300000000016</v>
      </c>
      <c r="I75">
        <f t="shared" si="8"/>
        <v>8.6415299999999711</v>
      </c>
      <c r="J75">
        <f t="shared" si="12"/>
        <v>93.65713134670203</v>
      </c>
    </row>
    <row r="76" spans="1:10" x14ac:dyDescent="0.3">
      <c r="A76">
        <v>7.3</v>
      </c>
      <c r="B76">
        <f t="shared" si="5"/>
        <v>57.944553999999783</v>
      </c>
      <c r="C76">
        <f t="shared" si="9"/>
        <v>869.16830999999672</v>
      </c>
      <c r="D76">
        <f>MATCH(B76,Battery!B:B,-1)</f>
        <v>17</v>
      </c>
      <c r="E76" cm="1">
        <f t="array" ref="E76">INDEX(Battery!C:C,D76+1)+(INDEX(Battery!C:C,D76)-INDEX(Battery!C:C,D76+1))/(INDEX(Battery!B:B,D76)-INDEX(Battery!C:C,B76+1))*(B76-INDEX(Battery!C:C,B76+1))</f>
        <v>3.8168646853006378</v>
      </c>
      <c r="F76">
        <f t="shared" si="10"/>
        <v>3.5750000000000002</v>
      </c>
      <c r="G76">
        <f>MATCH(F76,Load!A:A,-1)</f>
        <v>9</v>
      </c>
      <c r="H76">
        <f t="shared" si="11"/>
        <v>86.415300000000016</v>
      </c>
      <c r="I76">
        <f t="shared" si="8"/>
        <v>8.6415300000000475</v>
      </c>
      <c r="J76">
        <f t="shared" si="12"/>
        <v>93.663262776065963</v>
      </c>
    </row>
    <row r="77" spans="1:10" x14ac:dyDescent="0.3">
      <c r="A77">
        <v>7.4</v>
      </c>
      <c r="B77">
        <f t="shared" si="5"/>
        <v>57.36845199999977</v>
      </c>
      <c r="C77">
        <f t="shared" si="9"/>
        <v>860.52677999999662</v>
      </c>
      <c r="D77">
        <f>MATCH(B77,Battery!B:B,-1)</f>
        <v>17</v>
      </c>
      <c r="E77" cm="1">
        <f t="array" ref="E77">INDEX(Battery!C:C,D77+1)+(INDEX(Battery!C:C,D77)-INDEX(Battery!C:C,D77+1))/(INDEX(Battery!B:B,D77)-INDEX(Battery!C:C,B77+1))*(B77-INDEX(Battery!C:C,B77+1))</f>
        <v>3.8166148075190613</v>
      </c>
      <c r="F77">
        <f t="shared" si="10"/>
        <v>3.5750000000000002</v>
      </c>
      <c r="G77">
        <f>MATCH(F77,Load!A:A,-1)</f>
        <v>9</v>
      </c>
      <c r="H77">
        <f t="shared" si="11"/>
        <v>86.415300000000016</v>
      </c>
      <c r="I77">
        <f t="shared" si="8"/>
        <v>8.6415299999999711</v>
      </c>
      <c r="J77">
        <f t="shared" si="12"/>
        <v>93.669395008292184</v>
      </c>
    </row>
    <row r="78" spans="1:10" x14ac:dyDescent="0.3">
      <c r="A78">
        <v>7.5</v>
      </c>
      <c r="B78">
        <f t="shared" si="5"/>
        <v>56.792349999999779</v>
      </c>
      <c r="C78">
        <f t="shared" si="9"/>
        <v>851.88524999999663</v>
      </c>
      <c r="D78">
        <f>MATCH(B78,Battery!B:B,-1)</f>
        <v>17</v>
      </c>
      <c r="E78" cm="1">
        <f t="array" ref="E78">INDEX(Battery!C:C,D78+1)+(INDEX(Battery!C:C,D78)-INDEX(Battery!C:C,D78+1))/(INDEX(Battery!B:B,D78)-INDEX(Battery!C:C,B78+1))*(B78-INDEX(Battery!C:C,B78+1))</f>
        <v>3.8163649297374849</v>
      </c>
      <c r="F78">
        <f t="shared" si="10"/>
        <v>3.5750000000000002</v>
      </c>
      <c r="G78">
        <f>MATCH(F78,Load!A:A,-1)</f>
        <v>9</v>
      </c>
      <c r="H78">
        <f t="shared" si="11"/>
        <v>86.415300000000016</v>
      </c>
      <c r="I78">
        <f t="shared" si="8"/>
        <v>8.6415299999999711</v>
      </c>
      <c r="J78">
        <f t="shared" si="12"/>
        <v>93.67552804353835</v>
      </c>
    </row>
    <row r="79" spans="1:10" x14ac:dyDescent="0.3">
      <c r="A79">
        <v>7.6</v>
      </c>
      <c r="B79">
        <f t="shared" si="5"/>
        <v>56.21624799999978</v>
      </c>
      <c r="C79">
        <f t="shared" si="9"/>
        <v>843.24371999999664</v>
      </c>
      <c r="D79">
        <f>MATCH(B79,Battery!B:B,-1)</f>
        <v>17</v>
      </c>
      <c r="E79" cm="1">
        <f t="array" ref="E79">INDEX(Battery!C:C,D79+1)+(INDEX(Battery!C:C,D79)-INDEX(Battery!C:C,D79+1))/(INDEX(Battery!B:B,D79)-INDEX(Battery!C:C,B79+1))*(B79-INDEX(Battery!C:C,B79+1))</f>
        <v>3.8161150519559084</v>
      </c>
      <c r="F79">
        <f t="shared" si="10"/>
        <v>3.5750000000000002</v>
      </c>
      <c r="G79">
        <f>MATCH(F79,Load!A:A,-1)</f>
        <v>9</v>
      </c>
      <c r="H79">
        <f t="shared" si="11"/>
        <v>86.415300000000016</v>
      </c>
      <c r="I79">
        <f t="shared" si="8"/>
        <v>8.6415300000000475</v>
      </c>
      <c r="J79">
        <f t="shared" si="12"/>
        <v>93.681661881962199</v>
      </c>
    </row>
    <row r="80" spans="1:10" x14ac:dyDescent="0.3">
      <c r="A80">
        <v>7.7</v>
      </c>
      <c r="B80">
        <f t="shared" si="5"/>
        <v>55.640145999999767</v>
      </c>
      <c r="C80">
        <f t="shared" si="9"/>
        <v>834.60218999999654</v>
      </c>
      <c r="D80">
        <f>MATCH(B80,Battery!B:B,-1)</f>
        <v>17</v>
      </c>
      <c r="E80" cm="1">
        <f t="array" ref="E80">INDEX(Battery!C:C,D80+1)+(INDEX(Battery!C:C,D80)-INDEX(Battery!C:C,D80+1))/(INDEX(Battery!B:B,D80)-INDEX(Battery!C:C,B80+1))*(B80-INDEX(Battery!C:C,B80+1))</f>
        <v>3.8158651741743319</v>
      </c>
      <c r="F80">
        <f t="shared" si="10"/>
        <v>3.5750000000000002</v>
      </c>
      <c r="G80">
        <f>MATCH(F80,Load!A:A,-1)</f>
        <v>9</v>
      </c>
      <c r="H80">
        <f t="shared" si="11"/>
        <v>86.415300000000016</v>
      </c>
      <c r="I80">
        <f t="shared" si="8"/>
        <v>8.6415299999999711</v>
      </c>
      <c r="J80">
        <f t="shared" si="12"/>
        <v>93.687796523721531</v>
      </c>
    </row>
    <row r="81" spans="1:10" x14ac:dyDescent="0.3">
      <c r="A81">
        <v>7.8</v>
      </c>
      <c r="B81">
        <f t="shared" si="5"/>
        <v>55.064043999999768</v>
      </c>
      <c r="C81">
        <f t="shared" si="9"/>
        <v>825.96065999999655</v>
      </c>
      <c r="D81">
        <f>MATCH(B81,Battery!B:B,-1)</f>
        <v>18</v>
      </c>
      <c r="E81" cm="1">
        <f t="array" ref="E81">INDEX(Battery!C:C,D81+1)+(INDEX(Battery!C:C,D81)-INDEX(Battery!C:C,D81+1))/(INDEX(Battery!B:B,D81)-INDEX(Battery!C:C,B81+1))*(B81-INDEX(Battery!C:C,B81+1))</f>
        <v>3.7915227019086064</v>
      </c>
      <c r="F81">
        <f t="shared" si="10"/>
        <v>3.5750000000000002</v>
      </c>
      <c r="G81">
        <f>MATCH(F81,Load!A:A,-1)</f>
        <v>9</v>
      </c>
      <c r="H81">
        <f t="shared" si="11"/>
        <v>86.415300000000016</v>
      </c>
      <c r="I81">
        <f t="shared" si="8"/>
        <v>8.6415300000000475</v>
      </c>
      <c r="J81">
        <f t="shared" si="12"/>
        <v>94.289294330227506</v>
      </c>
    </row>
    <row r="82" spans="1:10" x14ac:dyDescent="0.3">
      <c r="A82">
        <v>7.9</v>
      </c>
      <c r="B82">
        <f t="shared" si="5"/>
        <v>54.487941999999769</v>
      </c>
      <c r="C82">
        <f t="shared" si="9"/>
        <v>817.31912999999645</v>
      </c>
      <c r="D82">
        <f>MATCH(B82,Battery!B:B,-1)</f>
        <v>18</v>
      </c>
      <c r="E82" cm="1">
        <f t="array" ref="E82">INDEX(Battery!C:C,D82+1)+(INDEX(Battery!C:C,D82)-INDEX(Battery!C:C,D82+1))/(INDEX(Battery!B:B,D82)-INDEX(Battery!C:C,B82+1))*(B82-INDEX(Battery!C:C,B82+1))</f>
        <v>3.7913121350437837</v>
      </c>
      <c r="F82">
        <f t="shared" si="10"/>
        <v>3.5750000000000002</v>
      </c>
      <c r="G82">
        <f>MATCH(F82,Load!A:A,-1)</f>
        <v>9</v>
      </c>
      <c r="H82">
        <f t="shared" si="11"/>
        <v>86.415300000000016</v>
      </c>
      <c r="I82">
        <f t="shared" si="8"/>
        <v>8.6415299999999711</v>
      </c>
      <c r="J82">
        <f t="shared" si="12"/>
        <v>94.29453109269555</v>
      </c>
    </row>
    <row r="83" spans="1:10" x14ac:dyDescent="0.3">
      <c r="A83">
        <v>8</v>
      </c>
      <c r="B83">
        <f t="shared" si="5"/>
        <v>53.911839999999764</v>
      </c>
      <c r="C83">
        <f t="shared" si="9"/>
        <v>808.67759999999646</v>
      </c>
      <c r="D83">
        <f>MATCH(B83,Battery!B:B,-1)</f>
        <v>18</v>
      </c>
      <c r="E83" cm="1">
        <f t="array" ref="E83">INDEX(Battery!C:C,D83+1)+(INDEX(Battery!C:C,D83)-INDEX(Battery!C:C,D83+1))/(INDEX(Battery!B:B,D83)-INDEX(Battery!C:C,B83+1))*(B83-INDEX(Battery!C:C,B83+1))</f>
        <v>3.7911015681789615</v>
      </c>
      <c r="F83">
        <f t="shared" si="10"/>
        <v>3.5750000000000002</v>
      </c>
      <c r="G83">
        <f>MATCH(F83,Load!A:A,-1)</f>
        <v>9</v>
      </c>
      <c r="H83">
        <f t="shared" si="11"/>
        <v>86.415300000000016</v>
      </c>
      <c r="I83">
        <f t="shared" si="8"/>
        <v>8.6415299999999711</v>
      </c>
      <c r="J83">
        <f t="shared" si="12"/>
        <v>94.299768436888272</v>
      </c>
    </row>
    <row r="84" spans="1:10" x14ac:dyDescent="0.3">
      <c r="A84">
        <v>8.1</v>
      </c>
      <c r="B84">
        <f t="shared" si="5"/>
        <v>53.335737999999765</v>
      </c>
      <c r="C84">
        <f t="shared" si="9"/>
        <v>800.03606999999647</v>
      </c>
      <c r="D84">
        <f>MATCH(B84,Battery!B:B,-1)</f>
        <v>18</v>
      </c>
      <c r="E84" cm="1">
        <f t="array" ref="E84">INDEX(Battery!C:C,D84+1)+(INDEX(Battery!C:C,D84)-INDEX(Battery!C:C,D84+1))/(INDEX(Battery!B:B,D84)-INDEX(Battery!C:C,B84+1))*(B84-INDEX(Battery!C:C,B84+1))</f>
        <v>3.7908910013141388</v>
      </c>
      <c r="F84">
        <f t="shared" si="10"/>
        <v>3.5750000000000002</v>
      </c>
      <c r="G84">
        <f>MATCH(F84,Load!A:A,-1)</f>
        <v>9</v>
      </c>
      <c r="H84">
        <f t="shared" si="11"/>
        <v>86.415300000000016</v>
      </c>
      <c r="I84">
        <f t="shared" si="8"/>
        <v>8.6415299999999711</v>
      </c>
      <c r="J84">
        <f t="shared" si="12"/>
        <v>94.305006362902603</v>
      </c>
    </row>
    <row r="85" spans="1:10" x14ac:dyDescent="0.3">
      <c r="A85">
        <v>8.1999999999999993</v>
      </c>
      <c r="B85">
        <f t="shared" si="5"/>
        <v>52.759635999999766</v>
      </c>
      <c r="C85">
        <f t="shared" si="9"/>
        <v>791.39453999999648</v>
      </c>
      <c r="D85">
        <f>MATCH(B85,Battery!B:B,-1)</f>
        <v>18</v>
      </c>
      <c r="E85" cm="1">
        <f t="array" ref="E85">INDEX(Battery!C:C,D85+1)+(INDEX(Battery!C:C,D85)-INDEX(Battery!C:C,D85+1))/(INDEX(Battery!B:B,D85)-INDEX(Battery!C:C,B85+1))*(B85-INDEX(Battery!C:C,B85+1))</f>
        <v>3.7906804344493161</v>
      </c>
      <c r="F85">
        <f t="shared" si="10"/>
        <v>3.5750000000000002</v>
      </c>
      <c r="G85">
        <f>MATCH(F85,Load!A:A,-1)</f>
        <v>9</v>
      </c>
      <c r="H85">
        <f t="shared" si="11"/>
        <v>86.415300000000016</v>
      </c>
      <c r="I85">
        <f t="shared" si="8"/>
        <v>8.6415300000001238</v>
      </c>
      <c r="J85">
        <f t="shared" si="12"/>
        <v>94.310244870835476</v>
      </c>
    </row>
    <row r="86" spans="1:10" x14ac:dyDescent="0.3">
      <c r="A86">
        <v>8.3000000000000007</v>
      </c>
      <c r="B86">
        <f t="shared" si="5"/>
        <v>52.183533999999753</v>
      </c>
      <c r="C86">
        <f t="shared" si="9"/>
        <v>782.75300999999638</v>
      </c>
      <c r="D86">
        <f>MATCH(B86,Battery!B:B,-1)</f>
        <v>18</v>
      </c>
      <c r="E86" cm="1">
        <f t="array" ref="E86">INDEX(Battery!C:C,D86+1)+(INDEX(Battery!C:C,D86)-INDEX(Battery!C:C,D86+1))/(INDEX(Battery!B:B,D86)-INDEX(Battery!C:C,B86+1))*(B86-INDEX(Battery!C:C,B86+1))</f>
        <v>3.7904698675844939</v>
      </c>
      <c r="F86">
        <f t="shared" si="10"/>
        <v>3.5750000000000002</v>
      </c>
      <c r="G86">
        <f>MATCH(F86,Load!A:A,-1)</f>
        <v>9</v>
      </c>
      <c r="H86">
        <f t="shared" si="11"/>
        <v>86.415300000000016</v>
      </c>
      <c r="I86">
        <f t="shared" si="8"/>
        <v>8.6415299999999711</v>
      </c>
      <c r="J86">
        <f t="shared" si="12"/>
        <v>94.315483960783894</v>
      </c>
    </row>
    <row r="87" spans="1:10" x14ac:dyDescent="0.3">
      <c r="A87">
        <v>8.4</v>
      </c>
      <c r="B87">
        <f t="shared" si="5"/>
        <v>51.607431999999761</v>
      </c>
      <c r="C87">
        <f t="shared" si="9"/>
        <v>774.11147999999639</v>
      </c>
      <c r="D87">
        <f>MATCH(B87,Battery!B:B,-1)</f>
        <v>18</v>
      </c>
      <c r="E87" cm="1">
        <f t="array" ref="E87">INDEX(Battery!C:C,D87+1)+(INDEX(Battery!C:C,D87)-INDEX(Battery!C:C,D87+1))/(INDEX(Battery!B:B,D87)-INDEX(Battery!C:C,B87+1))*(B87-INDEX(Battery!C:C,B87+1))</f>
        <v>3.7902593007196712</v>
      </c>
      <c r="F87">
        <f t="shared" si="10"/>
        <v>3.5750000000000002</v>
      </c>
      <c r="G87">
        <f>MATCH(F87,Load!A:A,-1)</f>
        <v>9</v>
      </c>
      <c r="H87">
        <f t="shared" si="11"/>
        <v>86.415300000000016</v>
      </c>
      <c r="I87">
        <f t="shared" si="8"/>
        <v>8.6415299999999711</v>
      </c>
      <c r="J87">
        <f t="shared" si="12"/>
        <v>94.320723632844889</v>
      </c>
    </row>
    <row r="88" spans="1:10" x14ac:dyDescent="0.3">
      <c r="A88">
        <v>8.5</v>
      </c>
      <c r="B88">
        <f t="shared" si="5"/>
        <v>51.031329999999762</v>
      </c>
      <c r="C88">
        <f t="shared" si="9"/>
        <v>765.4699499999964</v>
      </c>
      <c r="D88">
        <f>MATCH(B88,Battery!B:B,-1)</f>
        <v>18</v>
      </c>
      <c r="E88" cm="1">
        <f t="array" ref="E88">INDEX(Battery!C:C,D88+1)+(INDEX(Battery!C:C,D88)-INDEX(Battery!C:C,D88+1))/(INDEX(Battery!B:B,D88)-INDEX(Battery!C:C,B88+1))*(B88-INDEX(Battery!C:C,B88+1))</f>
        <v>3.790048733854849</v>
      </c>
      <c r="F88">
        <f t="shared" si="10"/>
        <v>3.5750000000000002</v>
      </c>
      <c r="G88">
        <f>MATCH(F88,Load!A:A,-1)</f>
        <v>9</v>
      </c>
      <c r="H88">
        <f t="shared" si="11"/>
        <v>86.415300000000016</v>
      </c>
      <c r="I88">
        <f t="shared" si="8"/>
        <v>8.6415299999999711</v>
      </c>
      <c r="J88">
        <f t="shared" si="12"/>
        <v>94.325963887115421</v>
      </c>
    </row>
    <row r="89" spans="1:10" x14ac:dyDescent="0.3">
      <c r="A89">
        <v>8.6</v>
      </c>
      <c r="B89">
        <f t="shared" si="5"/>
        <v>50.455227999999764</v>
      </c>
      <c r="C89">
        <f t="shared" si="9"/>
        <v>756.82841999999641</v>
      </c>
      <c r="D89">
        <f>MATCH(B89,Battery!B:B,-1)</f>
        <v>18</v>
      </c>
      <c r="E89" cm="1">
        <f t="array" ref="E89">INDEX(Battery!C:C,D89+1)+(INDEX(Battery!C:C,D89)-INDEX(Battery!C:C,D89+1))/(INDEX(Battery!B:B,D89)-INDEX(Battery!C:C,B89+1))*(B89-INDEX(Battery!C:C,B89+1))</f>
        <v>3.7898381669900263</v>
      </c>
      <c r="F89">
        <f t="shared" si="10"/>
        <v>3.5750000000000002</v>
      </c>
      <c r="G89">
        <f>MATCH(F89,Load!A:A,-1)</f>
        <v>9</v>
      </c>
      <c r="H89">
        <f t="shared" si="11"/>
        <v>86.415300000000016</v>
      </c>
      <c r="I89">
        <f t="shared" si="8"/>
        <v>8.6415299999999711</v>
      </c>
      <c r="J89">
        <f t="shared" si="12"/>
        <v>94.331204723692579</v>
      </c>
    </row>
    <row r="90" spans="1:10" x14ac:dyDescent="0.3">
      <c r="A90">
        <v>8.6999999999999993</v>
      </c>
      <c r="B90">
        <f t="shared" si="5"/>
        <v>49.879125999999765</v>
      </c>
      <c r="C90">
        <f t="shared" si="9"/>
        <v>748.18688999999642</v>
      </c>
      <c r="D90">
        <f>MATCH(B90,Battery!B:B,-1)</f>
        <v>19</v>
      </c>
      <c r="E90" cm="1">
        <f t="array" ref="E90">INDEX(Battery!C:C,D90+1)+(INDEX(Battery!C:C,D90)-INDEX(Battery!C:C,D90+1))/(INDEX(Battery!B:B,D90)-INDEX(Battery!C:C,B90+1))*(B90-INDEX(Battery!C:C,B90+1))</f>
        <v>3.7712447312314241</v>
      </c>
      <c r="F90">
        <f t="shared" si="10"/>
        <v>3.5750000000000002</v>
      </c>
      <c r="G90">
        <f>MATCH(F90,Load!A:A,-1)</f>
        <v>9</v>
      </c>
      <c r="H90">
        <f t="shared" si="11"/>
        <v>86.415300000000016</v>
      </c>
      <c r="I90">
        <f t="shared" si="8"/>
        <v>8.6415300000001238</v>
      </c>
      <c r="J90">
        <f t="shared" si="12"/>
        <v>94.796287559748365</v>
      </c>
    </row>
    <row r="91" spans="1:10" x14ac:dyDescent="0.3">
      <c r="A91">
        <v>8.8000000000000007</v>
      </c>
      <c r="B91">
        <f t="shared" si="5"/>
        <v>49.303023999999759</v>
      </c>
      <c r="C91">
        <f t="shared" si="9"/>
        <v>739.54535999999632</v>
      </c>
      <c r="D91">
        <f>MATCH(B91,Battery!B:B,-1)</f>
        <v>19</v>
      </c>
      <c r="E91" cm="1">
        <f t="array" ref="E91">INDEX(Battery!C:C,D91+1)+(INDEX(Battery!C:C,D91)-INDEX(Battery!C:C,D91+1))/(INDEX(Battery!B:B,D91)-INDEX(Battery!C:C,B91+1))*(B91-INDEX(Battery!C:C,B91+1))</f>
        <v>3.7710116152163713</v>
      </c>
      <c r="F91">
        <f t="shared" si="10"/>
        <v>3.5750000000000002</v>
      </c>
      <c r="G91">
        <f>MATCH(F91,Load!A:A,-1)</f>
        <v>9</v>
      </c>
      <c r="H91">
        <f t="shared" si="11"/>
        <v>86.415300000000016</v>
      </c>
      <c r="I91">
        <f t="shared" si="8"/>
        <v>8.6415299999999711</v>
      </c>
      <c r="J91">
        <f t="shared" si="12"/>
        <v>94.802147667075687</v>
      </c>
    </row>
    <row r="92" spans="1:10" x14ac:dyDescent="0.3">
      <c r="A92">
        <v>8.9</v>
      </c>
      <c r="B92">
        <f t="shared" si="5"/>
        <v>48.726921999999753</v>
      </c>
      <c r="C92">
        <f t="shared" si="9"/>
        <v>730.90382999999633</v>
      </c>
      <c r="D92">
        <f>MATCH(B92,Battery!B:B,-1)</f>
        <v>19</v>
      </c>
      <c r="E92" cm="1">
        <f t="array" ref="E92">INDEX(Battery!C:C,D92+1)+(INDEX(Battery!C:C,D92)-INDEX(Battery!C:C,D92+1))/(INDEX(Battery!B:B,D92)-INDEX(Battery!C:C,B92+1))*(B92-INDEX(Battery!C:C,B92+1))</f>
        <v>3.7707784992013185</v>
      </c>
      <c r="F92">
        <f t="shared" si="10"/>
        <v>3.5750000000000002</v>
      </c>
      <c r="G92">
        <f>MATCH(F92,Load!A:A,-1)</f>
        <v>9</v>
      </c>
      <c r="H92">
        <f t="shared" si="11"/>
        <v>86.415300000000016</v>
      </c>
      <c r="I92">
        <f t="shared" si="8"/>
        <v>8.6415299999999711</v>
      </c>
      <c r="J92">
        <f t="shared" si="12"/>
        <v>94.808008498966828</v>
      </c>
    </row>
    <row r="93" spans="1:10" x14ac:dyDescent="0.3">
      <c r="A93">
        <v>9</v>
      </c>
      <c r="B93">
        <f t="shared" si="5"/>
        <v>48.150819999999754</v>
      </c>
      <c r="C93">
        <f t="shared" si="9"/>
        <v>722.26229999999634</v>
      </c>
      <c r="D93">
        <f>MATCH(B93,Battery!B:B,-1)</f>
        <v>19</v>
      </c>
      <c r="E93" cm="1">
        <f t="array" ref="E93">INDEX(Battery!C:C,D93+1)+(INDEX(Battery!C:C,D93)-INDEX(Battery!C:C,D93+1))/(INDEX(Battery!B:B,D93)-INDEX(Battery!C:C,B93+1))*(B93-INDEX(Battery!C:C,B93+1))</f>
        <v>3.7705453831862656</v>
      </c>
      <c r="F93">
        <f t="shared" si="10"/>
        <v>3.5750000000000002</v>
      </c>
      <c r="G93">
        <f>MATCH(F93,Load!A:A,-1)</f>
        <v>9</v>
      </c>
      <c r="H93">
        <f t="shared" si="11"/>
        <v>86.415300000000016</v>
      </c>
      <c r="I93">
        <f t="shared" si="8"/>
        <v>8.6415299999999711</v>
      </c>
      <c r="J93">
        <f t="shared" si="12"/>
        <v>94.813870055556222</v>
      </c>
    </row>
    <row r="94" spans="1:10" x14ac:dyDescent="0.3">
      <c r="A94">
        <v>9.1</v>
      </c>
      <c r="B94">
        <f t="shared" si="5"/>
        <v>47.574717999999756</v>
      </c>
      <c r="C94">
        <f t="shared" si="9"/>
        <v>713.62076999999636</v>
      </c>
      <c r="D94">
        <f>MATCH(B94,Battery!B:B,-1)</f>
        <v>19</v>
      </c>
      <c r="E94" cm="1">
        <f t="array" ref="E94">INDEX(Battery!C:C,D94+1)+(INDEX(Battery!C:C,D94)-INDEX(Battery!C:C,D94+1))/(INDEX(Battery!B:B,D94)-INDEX(Battery!C:C,B94+1))*(B94-INDEX(Battery!C:C,B94+1))</f>
        <v>3.7703122671712128</v>
      </c>
      <c r="F94">
        <f t="shared" si="10"/>
        <v>3.5750000000000002</v>
      </c>
      <c r="G94">
        <f>MATCH(F94,Load!A:A,-1)</f>
        <v>9</v>
      </c>
      <c r="H94">
        <f t="shared" si="11"/>
        <v>86.415300000000016</v>
      </c>
      <c r="I94">
        <f t="shared" si="8"/>
        <v>8.6415299999999711</v>
      </c>
      <c r="J94">
        <f t="shared" si="12"/>
        <v>94.819732336978262</v>
      </c>
    </row>
    <row r="95" spans="1:10" x14ac:dyDescent="0.3">
      <c r="A95">
        <v>9.1999999999999993</v>
      </c>
      <c r="B95">
        <f t="shared" si="5"/>
        <v>46.998615999999757</v>
      </c>
      <c r="C95">
        <f t="shared" si="9"/>
        <v>704.97923999999637</v>
      </c>
      <c r="D95">
        <f>MATCH(B95,Battery!B:B,-1)</f>
        <v>19</v>
      </c>
      <c r="E95" cm="1">
        <f t="array" ref="E95">INDEX(Battery!C:C,D95+1)+(INDEX(Battery!C:C,D95)-INDEX(Battery!C:C,D95+1))/(INDEX(Battery!B:B,D95)-INDEX(Battery!C:C,B95+1))*(B95-INDEX(Battery!C:C,B95+1))</f>
        <v>3.77007915115616</v>
      </c>
      <c r="F95">
        <f t="shared" si="10"/>
        <v>3.5750000000000002</v>
      </c>
      <c r="G95">
        <f>MATCH(F95,Load!A:A,-1)</f>
        <v>9</v>
      </c>
      <c r="H95">
        <f t="shared" si="11"/>
        <v>86.415300000000016</v>
      </c>
      <c r="I95">
        <f t="shared" si="8"/>
        <v>8.6415300000001238</v>
      </c>
      <c r="J95">
        <f t="shared" si="12"/>
        <v>94.825595343367382</v>
      </c>
    </row>
    <row r="96" spans="1:10" x14ac:dyDescent="0.3">
      <c r="A96">
        <v>9.3000000000000007</v>
      </c>
      <c r="B96">
        <f t="shared" si="5"/>
        <v>46.422513999999751</v>
      </c>
      <c r="C96">
        <f t="shared" si="9"/>
        <v>696.33770999999626</v>
      </c>
      <c r="D96">
        <f>MATCH(B96,Battery!B:B,-1)</f>
        <v>19</v>
      </c>
      <c r="E96" cm="1">
        <f t="array" ref="E96">INDEX(Battery!C:C,D96+1)+(INDEX(Battery!C:C,D96)-INDEX(Battery!C:C,D96+1))/(INDEX(Battery!B:B,D96)-INDEX(Battery!C:C,B96+1))*(B96-INDEX(Battery!C:C,B96+1))</f>
        <v>3.7698460351411072</v>
      </c>
      <c r="F96">
        <f t="shared" si="10"/>
        <v>3.5750000000000002</v>
      </c>
      <c r="G96">
        <f>MATCH(F96,Load!A:A,-1)</f>
        <v>9</v>
      </c>
      <c r="H96">
        <f t="shared" si="11"/>
        <v>86.415300000000016</v>
      </c>
      <c r="I96">
        <f t="shared" si="8"/>
        <v>8.6415299999999711</v>
      </c>
      <c r="J96">
        <f t="shared" si="12"/>
        <v>94.831459074858103</v>
      </c>
    </row>
    <row r="97" spans="1:10" x14ac:dyDescent="0.3">
      <c r="A97">
        <v>9.4</v>
      </c>
      <c r="B97">
        <f t="shared" si="5"/>
        <v>45.846411999999752</v>
      </c>
      <c r="C97">
        <f t="shared" si="9"/>
        <v>687.69617999999628</v>
      </c>
      <c r="D97">
        <f>MATCH(B97,Battery!B:B,-1)</f>
        <v>19</v>
      </c>
      <c r="E97" cm="1">
        <f t="array" ref="E97">INDEX(Battery!C:C,D97+1)+(INDEX(Battery!C:C,D97)-INDEX(Battery!C:C,D97+1))/(INDEX(Battery!B:B,D97)-INDEX(Battery!C:C,B97+1))*(B97-INDEX(Battery!C:C,B97+1))</f>
        <v>3.7696129191260543</v>
      </c>
      <c r="F97">
        <f t="shared" si="10"/>
        <v>3.5750000000000002</v>
      </c>
      <c r="G97">
        <f>MATCH(F97,Load!A:A,-1)</f>
        <v>9</v>
      </c>
      <c r="H97">
        <f t="shared" si="11"/>
        <v>86.415300000000016</v>
      </c>
      <c r="I97">
        <f t="shared" si="8"/>
        <v>8.6415299999999711</v>
      </c>
      <c r="J97">
        <f t="shared" si="12"/>
        <v>94.837323531584971</v>
      </c>
    </row>
    <row r="98" spans="1:10" x14ac:dyDescent="0.3">
      <c r="A98">
        <v>9.5</v>
      </c>
      <c r="B98">
        <f t="shared" si="5"/>
        <v>45.270309999999753</v>
      </c>
      <c r="C98">
        <f t="shared" si="9"/>
        <v>679.05464999999629</v>
      </c>
      <c r="D98">
        <f>MATCH(B98,Battery!B:B,-1)</f>
        <v>19</v>
      </c>
      <c r="E98" cm="1">
        <f t="array" ref="E98">INDEX(Battery!C:C,D98+1)+(INDEX(Battery!C:C,D98)-INDEX(Battery!C:C,D98+1))/(INDEX(Battery!B:B,D98)-INDEX(Battery!C:C,B98+1))*(B98-INDEX(Battery!C:C,B98+1))</f>
        <v>3.7693798031110015</v>
      </c>
      <c r="F98">
        <f t="shared" si="10"/>
        <v>3.5750000000000002</v>
      </c>
      <c r="G98">
        <f>MATCH(F98,Load!A:A,-1)</f>
        <v>9</v>
      </c>
      <c r="H98">
        <f t="shared" si="11"/>
        <v>86.415300000000016</v>
      </c>
      <c r="I98">
        <f t="shared" si="8"/>
        <v>8.6415299999999711</v>
      </c>
      <c r="J98">
        <f t="shared" si="12"/>
        <v>94.84318871368248</v>
      </c>
    </row>
    <row r="99" spans="1:10" x14ac:dyDescent="0.3">
      <c r="A99">
        <v>9.6</v>
      </c>
      <c r="B99">
        <f t="shared" si="5"/>
        <v>44.694207999999755</v>
      </c>
      <c r="C99">
        <f t="shared" si="9"/>
        <v>670.4131199999963</v>
      </c>
      <c r="D99">
        <f>MATCH(B99,Battery!B:B,-1)</f>
        <v>19</v>
      </c>
      <c r="E99" cm="1">
        <f t="array" ref="E99">INDEX(Battery!C:C,D99+1)+(INDEX(Battery!C:C,D99)-INDEX(Battery!C:C,D99+1))/(INDEX(Battery!B:B,D99)-INDEX(Battery!C:C,B99+1))*(B99-INDEX(Battery!C:C,B99+1))</f>
        <v>3.7691466870959487</v>
      </c>
      <c r="F99">
        <f t="shared" si="10"/>
        <v>3.5750000000000002</v>
      </c>
      <c r="G99">
        <f>MATCH(F99,Load!A:A,-1)</f>
        <v>9</v>
      </c>
      <c r="H99">
        <f t="shared" si="11"/>
        <v>86.415300000000016</v>
      </c>
      <c r="I99">
        <f t="shared" ref="I99:I123" si="13">H99*(A100-A99)</f>
        <v>8.6415299999999711</v>
      </c>
      <c r="J99">
        <f t="shared" si="12"/>
        <v>94.849054621285262</v>
      </c>
    </row>
    <row r="100" spans="1:10" x14ac:dyDescent="0.3">
      <c r="A100">
        <v>9.6999999999999993</v>
      </c>
      <c r="B100">
        <f t="shared" si="5"/>
        <v>44.118105999999749</v>
      </c>
      <c r="C100">
        <f t="shared" ref="C100:C123" si="14">C99-I99</f>
        <v>661.77158999999631</v>
      </c>
      <c r="D100">
        <f>MATCH(B100,Battery!B:B,-1)</f>
        <v>19</v>
      </c>
      <c r="E100" cm="1">
        <f t="array" ref="E100">INDEX(Battery!C:C,D100+1)+(INDEX(Battery!C:C,D100)-INDEX(Battery!C:C,D100+1))/(INDEX(Battery!B:B,D100)-INDEX(Battery!C:C,B100+1))*(B100-INDEX(Battery!C:C,B100+1))</f>
        <v>3.7689135710808959</v>
      </c>
      <c r="F100">
        <f t="shared" si="10"/>
        <v>3.5750000000000002</v>
      </c>
      <c r="G100">
        <f>MATCH(F100,Load!A:A,-1)</f>
        <v>9</v>
      </c>
      <c r="H100">
        <f t="shared" si="11"/>
        <v>86.415300000000016</v>
      </c>
      <c r="I100">
        <f t="shared" si="13"/>
        <v>8.6415300000001238</v>
      </c>
      <c r="J100">
        <f t="shared" si="12"/>
        <v>94.854921254527923</v>
      </c>
    </row>
    <row r="101" spans="1:10" x14ac:dyDescent="0.3">
      <c r="A101">
        <v>9.8000000000000007</v>
      </c>
      <c r="B101">
        <f t="shared" si="5"/>
        <v>43.542003999999743</v>
      </c>
      <c r="C101">
        <f t="shared" si="14"/>
        <v>653.13005999999621</v>
      </c>
      <c r="D101">
        <f>MATCH(B101,Battery!B:B,-1)</f>
        <v>20</v>
      </c>
      <c r="E101" cm="1">
        <f t="array" ref="E101">INDEX(Battery!C:C,D101+1)+(INDEX(Battery!C:C,D101)-INDEX(Battery!C:C,D101+1))/(INDEX(Battery!B:B,D101)-INDEX(Battery!C:C,B101+1))*(B101-INDEX(Battery!C:C,B101+1))</f>
        <v>3.7510016651740701</v>
      </c>
      <c r="F101">
        <f t="shared" si="10"/>
        <v>3.5750000000000002</v>
      </c>
      <c r="G101">
        <f>MATCH(F101,Load!A:A,-1)</f>
        <v>9</v>
      </c>
      <c r="H101">
        <f t="shared" si="11"/>
        <v>86.415300000000016</v>
      </c>
      <c r="I101">
        <f t="shared" si="13"/>
        <v>8.6415299999999711</v>
      </c>
      <c r="J101">
        <f t="shared" si="12"/>
        <v>95.307875578724861</v>
      </c>
    </row>
    <row r="102" spans="1:10" x14ac:dyDescent="0.3">
      <c r="A102">
        <v>9.9</v>
      </c>
      <c r="B102">
        <f t="shared" si="5"/>
        <v>42.965901999999751</v>
      </c>
      <c r="C102">
        <f t="shared" si="14"/>
        <v>644.48852999999622</v>
      </c>
      <c r="D102">
        <f>MATCH(B102,Battery!B:B,-1)</f>
        <v>20</v>
      </c>
      <c r="E102" cm="1">
        <f t="array" ref="E102">INDEX(Battery!C:C,D102+1)+(INDEX(Battery!C:C,D102)-INDEX(Battery!C:C,D102+1))/(INDEX(Battery!B:B,D102)-INDEX(Battery!C:C,B102+1))*(B102-INDEX(Battery!C:C,B102+1))</f>
        <v>3.750795491768312</v>
      </c>
      <c r="F102">
        <f t="shared" si="10"/>
        <v>3.5750000000000002</v>
      </c>
      <c r="G102">
        <f>MATCH(F102,Load!A:A,-1)</f>
        <v>9</v>
      </c>
      <c r="H102">
        <f t="shared" si="11"/>
        <v>86.415300000000016</v>
      </c>
      <c r="I102">
        <f t="shared" si="13"/>
        <v>8.6415299999999711</v>
      </c>
      <c r="J102">
        <f t="shared" si="12"/>
        <v>95.313114453877276</v>
      </c>
    </row>
    <row r="103" spans="1:10" x14ac:dyDescent="0.3">
      <c r="A103">
        <v>10</v>
      </c>
      <c r="B103">
        <f t="shared" si="5"/>
        <v>42.389799999999752</v>
      </c>
      <c r="C103">
        <f t="shared" si="14"/>
        <v>635.84699999999623</v>
      </c>
      <c r="D103">
        <f>MATCH(B103,Battery!B:B,-1)</f>
        <v>20</v>
      </c>
      <c r="E103" cm="1">
        <f t="array" ref="E103">INDEX(Battery!C:C,D103+1)+(INDEX(Battery!C:C,D103)-INDEX(Battery!C:C,D103+1))/(INDEX(Battery!B:B,D103)-INDEX(Battery!C:C,B103+1))*(B103-INDEX(Battery!C:C,B103+1))</f>
        <v>3.7505893183625538</v>
      </c>
      <c r="F103">
        <f t="shared" si="10"/>
        <v>3.5750000000000002</v>
      </c>
      <c r="G103">
        <f>MATCH(F103,Load!A:A,-1)</f>
        <v>9</v>
      </c>
      <c r="H103">
        <f t="shared" si="11"/>
        <v>86.415300000000016</v>
      </c>
      <c r="I103">
        <f t="shared" si="13"/>
        <v>8.6415299999999711</v>
      </c>
      <c r="J103">
        <f t="shared" si="12"/>
        <v>95.318353905001445</v>
      </c>
    </row>
    <row r="104" spans="1:10" x14ac:dyDescent="0.3">
      <c r="A104">
        <v>10.1</v>
      </c>
      <c r="B104">
        <f t="shared" si="5"/>
        <v>41.813697999999746</v>
      </c>
      <c r="C104">
        <f t="shared" si="14"/>
        <v>627.20546999999624</v>
      </c>
      <c r="D104">
        <f>MATCH(B104,Battery!B:B,-1)</f>
        <v>20</v>
      </c>
      <c r="E104" cm="1">
        <f t="array" ref="E104">INDEX(Battery!C:C,D104+1)+(INDEX(Battery!C:C,D104)-INDEX(Battery!C:C,D104+1))/(INDEX(Battery!B:B,D104)-INDEX(Battery!C:C,B104+1))*(B104-INDEX(Battery!C:C,B104+1))</f>
        <v>3.7503831449567957</v>
      </c>
      <c r="F104">
        <f t="shared" si="10"/>
        <v>3.5750000000000002</v>
      </c>
      <c r="G104">
        <f>MATCH(F104,Load!A:A,-1)</f>
        <v>9</v>
      </c>
      <c r="H104">
        <f t="shared" si="11"/>
        <v>86.415300000000016</v>
      </c>
      <c r="I104">
        <f t="shared" si="13"/>
        <v>8.6415299999999711</v>
      </c>
      <c r="J104">
        <f t="shared" si="12"/>
        <v>95.323593932192324</v>
      </c>
    </row>
    <row r="105" spans="1:10" x14ac:dyDescent="0.3">
      <c r="A105">
        <v>10.199999999999999</v>
      </c>
      <c r="B105">
        <f t="shared" si="5"/>
        <v>41.237595999999748</v>
      </c>
      <c r="C105">
        <f t="shared" si="14"/>
        <v>618.56393999999625</v>
      </c>
      <c r="D105">
        <f>MATCH(B105,Battery!B:B,-1)</f>
        <v>20</v>
      </c>
      <c r="E105" cm="1">
        <f t="array" ref="E105">INDEX(Battery!C:C,D105+1)+(INDEX(Battery!C:C,D105)-INDEX(Battery!C:C,D105+1))/(INDEX(Battery!B:B,D105)-INDEX(Battery!C:C,B105+1))*(B105-INDEX(Battery!C:C,B105+1))</f>
        <v>3.7501769715510376</v>
      </c>
      <c r="F105">
        <f t="shared" si="10"/>
        <v>3.5750000000000002</v>
      </c>
      <c r="G105">
        <f>MATCH(F105,Load!A:A,-1)</f>
        <v>9</v>
      </c>
      <c r="H105">
        <f t="shared" si="11"/>
        <v>86.415300000000016</v>
      </c>
      <c r="I105">
        <f t="shared" si="13"/>
        <v>8.6415300000001238</v>
      </c>
      <c r="J105">
        <f t="shared" si="12"/>
        <v>95.328834535544971</v>
      </c>
    </row>
    <row r="106" spans="1:10" x14ac:dyDescent="0.3">
      <c r="A106">
        <v>10.3</v>
      </c>
      <c r="B106">
        <f t="shared" si="5"/>
        <v>40.661493999999742</v>
      </c>
      <c r="C106">
        <f t="shared" si="14"/>
        <v>609.92240999999615</v>
      </c>
      <c r="D106">
        <f>MATCH(B106,Battery!B:B,-1)</f>
        <v>20</v>
      </c>
      <c r="E106" cm="1">
        <f t="array" ref="E106">INDEX(Battery!C:C,D106+1)+(INDEX(Battery!C:C,D106)-INDEX(Battery!C:C,D106+1))/(INDEX(Battery!B:B,D106)-INDEX(Battery!C:C,B106+1))*(B106-INDEX(Battery!C:C,B106+1))</f>
        <v>3.7498907109317559</v>
      </c>
      <c r="F106">
        <f t="shared" si="10"/>
        <v>3.5750000000000002</v>
      </c>
      <c r="G106">
        <f>MATCH(F106,Load!A:A,-1)</f>
        <v>9</v>
      </c>
      <c r="H106">
        <f t="shared" si="11"/>
        <v>86.415300000000016</v>
      </c>
      <c r="I106">
        <f t="shared" si="13"/>
        <v>8.6415299999999711</v>
      </c>
      <c r="J106">
        <f t="shared" si="12"/>
        <v>95.336111785287216</v>
      </c>
    </row>
    <row r="107" spans="1:10" x14ac:dyDescent="0.3">
      <c r="A107">
        <v>10.4</v>
      </c>
      <c r="B107">
        <f t="shared" si="5"/>
        <v>40.085391999999743</v>
      </c>
      <c r="C107">
        <f t="shared" si="14"/>
        <v>601.28087999999616</v>
      </c>
      <c r="D107">
        <f>MATCH(B107,Battery!B:B,-1)</f>
        <v>20</v>
      </c>
      <c r="E107" cm="1">
        <f t="array" ref="E107">INDEX(Battery!C:C,D107+1)+(INDEX(Battery!C:C,D107)-INDEX(Battery!C:C,D107+1))/(INDEX(Battery!B:B,D107)-INDEX(Battery!C:C,B107+1))*(B107-INDEX(Battery!C:C,B107+1))</f>
        <v>3.7496693982251954</v>
      </c>
      <c r="F107">
        <f t="shared" si="10"/>
        <v>3.5750000000000002</v>
      </c>
      <c r="G107">
        <f>MATCH(F107,Load!A:A,-1)</f>
        <v>9</v>
      </c>
      <c r="H107">
        <f t="shared" si="11"/>
        <v>86.415300000000016</v>
      </c>
      <c r="I107">
        <f t="shared" si="13"/>
        <v>8.6415299999999711</v>
      </c>
      <c r="J107">
        <f t="shared" si="12"/>
        <v>95.341738706141115</v>
      </c>
    </row>
    <row r="108" spans="1:10" x14ac:dyDescent="0.3">
      <c r="A108">
        <v>10.5</v>
      </c>
      <c r="B108">
        <f t="shared" si="5"/>
        <v>39.509289999999744</v>
      </c>
      <c r="C108">
        <f t="shared" si="14"/>
        <v>592.63934999999617</v>
      </c>
      <c r="D108">
        <f>MATCH(B108,Battery!B:B,-1)</f>
        <v>20</v>
      </c>
      <c r="E108" cm="1">
        <f t="array" ref="E108">INDEX(Battery!C:C,D108+1)+(INDEX(Battery!C:C,D108)-INDEX(Battery!C:C,D108+1))/(INDEX(Battery!B:B,D108)-INDEX(Battery!C:C,B108+1))*(B108-INDEX(Battery!C:C,B108+1))</f>
        <v>3.749447689200669</v>
      </c>
      <c r="F108">
        <f t="shared" si="10"/>
        <v>3.5750000000000002</v>
      </c>
      <c r="G108">
        <f>MATCH(F108,Load!A:A,-1)</f>
        <v>9</v>
      </c>
      <c r="H108">
        <f t="shared" si="11"/>
        <v>86.415300000000016</v>
      </c>
      <c r="I108">
        <f t="shared" si="13"/>
        <v>8.6415299999999711</v>
      </c>
      <c r="J108">
        <f t="shared" si="12"/>
        <v>95.347376369508481</v>
      </c>
    </row>
    <row r="109" spans="1:10" x14ac:dyDescent="0.3">
      <c r="A109">
        <v>10.6</v>
      </c>
      <c r="B109">
        <f t="shared" si="5"/>
        <v>38.933187999999745</v>
      </c>
      <c r="C109">
        <f t="shared" si="14"/>
        <v>583.99781999999618</v>
      </c>
      <c r="D109">
        <f>MATCH(B109,Battery!B:B,-1)</f>
        <v>20</v>
      </c>
      <c r="E109" cm="1">
        <f t="array" ref="E109">INDEX(Battery!C:C,D109+1)+(INDEX(Battery!C:C,D109)-INDEX(Battery!C:C,D109+1))/(INDEX(Battery!B:B,D109)-INDEX(Battery!C:C,B109+1))*(B109-INDEX(Battery!C:C,B109+1))</f>
        <v>3.7492234163415472</v>
      </c>
      <c r="F109">
        <f t="shared" si="10"/>
        <v>3.5750000000000002</v>
      </c>
      <c r="G109">
        <f>MATCH(F109,Load!A:A,-1)</f>
        <v>9</v>
      </c>
      <c r="H109">
        <f t="shared" si="11"/>
        <v>86.415300000000016</v>
      </c>
      <c r="I109">
        <f t="shared" si="13"/>
        <v>8.6415299999999711</v>
      </c>
      <c r="J109">
        <f t="shared" si="12"/>
        <v>95.35307990496996</v>
      </c>
    </row>
    <row r="110" spans="1:10" x14ac:dyDescent="0.3">
      <c r="A110">
        <v>10.7</v>
      </c>
      <c r="B110">
        <f t="shared" si="5"/>
        <v>38.357085999999747</v>
      </c>
      <c r="C110">
        <f t="shared" si="14"/>
        <v>575.35628999999619</v>
      </c>
      <c r="D110">
        <f>MATCH(B110,Battery!B:B,-1)</f>
        <v>20</v>
      </c>
      <c r="E110" cm="1">
        <f t="array" ref="E110">INDEX(Battery!C:C,D110+1)+(INDEX(Battery!C:C,D110)-INDEX(Battery!C:C,D110+1))/(INDEX(Battery!B:B,D110)-INDEX(Battery!C:C,B110+1))*(B110-INDEX(Battery!C:C,B110+1))</f>
        <v>3.7490016987541455</v>
      </c>
      <c r="F110">
        <f t="shared" si="10"/>
        <v>3.5750000000000002</v>
      </c>
      <c r="G110">
        <f>MATCH(F110,Load!A:A,-1)</f>
        <v>9</v>
      </c>
      <c r="H110">
        <f t="shared" si="11"/>
        <v>86.415300000000016</v>
      </c>
      <c r="I110">
        <f t="shared" si="13"/>
        <v>8.6415300000001238</v>
      </c>
      <c r="J110">
        <f t="shared" si="12"/>
        <v>95.35871912749549</v>
      </c>
    </row>
    <row r="111" spans="1:10" x14ac:dyDescent="0.3">
      <c r="A111">
        <v>10.8</v>
      </c>
      <c r="B111">
        <f t="shared" si="5"/>
        <v>37.780983999999741</v>
      </c>
      <c r="C111">
        <f t="shared" si="14"/>
        <v>566.71475999999609</v>
      </c>
      <c r="D111">
        <f>MATCH(B111,Battery!B:B,-1)</f>
        <v>20</v>
      </c>
      <c r="E111" cm="1">
        <f t="array" ref="E111">INDEX(Battery!C:C,D111+1)+(INDEX(Battery!C:C,D111)-INDEX(Battery!C:C,D111+1))/(INDEX(Battery!B:B,D111)-INDEX(Battery!C:C,B111+1))*(B111-INDEX(Battery!C:C,B111+1))</f>
        <v>3.7487767277606308</v>
      </c>
      <c r="F111">
        <f t="shared" si="10"/>
        <v>3.5750000000000002</v>
      </c>
      <c r="G111">
        <f>MATCH(F111,Load!A:A,-1)</f>
        <v>9</v>
      </c>
      <c r="H111">
        <f t="shared" si="11"/>
        <v>86.415300000000016</v>
      </c>
      <c r="I111">
        <f t="shared" si="13"/>
        <v>8.6415299999999711</v>
      </c>
      <c r="J111">
        <f t="shared" si="12"/>
        <v>95.364441779800586</v>
      </c>
    </row>
    <row r="112" spans="1:10" x14ac:dyDescent="0.3">
      <c r="A112">
        <v>10.9</v>
      </c>
      <c r="B112">
        <f t="shared" si="5"/>
        <v>37.204881999999742</v>
      </c>
      <c r="C112">
        <f t="shared" si="14"/>
        <v>558.0732299999961</v>
      </c>
      <c r="D112">
        <f>MATCH(B112,Battery!B:B,-1)</f>
        <v>20</v>
      </c>
      <c r="E112" cm="1">
        <f t="array" ref="E112">INDEX(Battery!C:C,D112+1)+(INDEX(Battery!C:C,D112)-INDEX(Battery!C:C,D112+1))/(INDEX(Battery!B:B,D112)-INDEX(Battery!C:C,B112+1))*(B112-INDEX(Battery!C:C,B112+1))</f>
        <v>3.7485546940022285</v>
      </c>
      <c r="F112">
        <f t="shared" si="10"/>
        <v>3.5750000000000002</v>
      </c>
      <c r="G112">
        <f>MATCH(F112,Load!A:A,-1)</f>
        <v>9</v>
      </c>
      <c r="H112">
        <f t="shared" si="11"/>
        <v>86.415300000000016</v>
      </c>
      <c r="I112">
        <f t="shared" si="13"/>
        <v>8.6415299999999711</v>
      </c>
      <c r="J112">
        <f t="shared" si="12"/>
        <v>95.370090390306444</v>
      </c>
    </row>
    <row r="113" spans="1:10" x14ac:dyDescent="0.3">
      <c r="A113">
        <v>11</v>
      </c>
      <c r="B113">
        <f t="shared" si="5"/>
        <v>36.628779999999736</v>
      </c>
      <c r="C113">
        <f t="shared" si="14"/>
        <v>549.43169999999611</v>
      </c>
      <c r="D113">
        <f>MATCH(B113,Battery!B:B,-1)</f>
        <v>21</v>
      </c>
      <c r="E113" cm="1">
        <f t="array" ref="E113">INDEX(Battery!C:C,D113+1)+(INDEX(Battery!C:C,D113)-INDEX(Battery!C:C,D113+1))/(INDEX(Battery!B:B,D113)-INDEX(Battery!C:C,B113+1))*(B113-INDEX(Battery!C:C,B113+1))</f>
        <v>3.7353473070299903</v>
      </c>
      <c r="F113">
        <f t="shared" si="10"/>
        <v>3.5750000000000002</v>
      </c>
      <c r="G113">
        <f>MATCH(F113,Load!A:A,-1)</f>
        <v>9</v>
      </c>
      <c r="H113">
        <f t="shared" si="11"/>
        <v>86.415300000000016</v>
      </c>
      <c r="I113">
        <f t="shared" si="13"/>
        <v>8.6415299999999711</v>
      </c>
      <c r="J113">
        <f t="shared" si="12"/>
        <v>95.707298576273942</v>
      </c>
    </row>
    <row r="114" spans="1:10" x14ac:dyDescent="0.3">
      <c r="A114">
        <v>11.1</v>
      </c>
      <c r="B114">
        <f t="shared" si="5"/>
        <v>36.052677999999744</v>
      </c>
      <c r="C114">
        <f t="shared" si="14"/>
        <v>540.79016999999612</v>
      </c>
      <c r="D114">
        <f>MATCH(B114,Battery!B:B,-1)</f>
        <v>21</v>
      </c>
      <c r="E114" cm="1">
        <f t="array" ref="E114">INDEX(Battery!C:C,D114+1)+(INDEX(Battery!C:C,D114)-INDEX(Battery!C:C,D114+1))/(INDEX(Battery!B:B,D114)-INDEX(Battery!C:C,B114+1))*(B114-INDEX(Battery!C:C,B114+1))</f>
        <v>3.7351060668870084</v>
      </c>
      <c r="F114">
        <f t="shared" si="10"/>
        <v>3.5750000000000002</v>
      </c>
      <c r="G114">
        <f>MATCH(F114,Load!A:A,-1)</f>
        <v>9</v>
      </c>
      <c r="H114">
        <f t="shared" si="11"/>
        <v>86.415300000000016</v>
      </c>
      <c r="I114">
        <f t="shared" si="13"/>
        <v>8.6415299999999711</v>
      </c>
      <c r="J114">
        <f t="shared" si="12"/>
        <v>95.713480045281628</v>
      </c>
    </row>
    <row r="115" spans="1:10" x14ac:dyDescent="0.3">
      <c r="A115">
        <v>11.2</v>
      </c>
      <c r="B115">
        <f t="shared" si="5"/>
        <v>35.476575999999746</v>
      </c>
      <c r="C115">
        <f t="shared" si="14"/>
        <v>532.14863999999613</v>
      </c>
      <c r="D115">
        <f>MATCH(B115,Battery!B:B,-1)</f>
        <v>21</v>
      </c>
      <c r="E115" cm="1">
        <f t="array" ref="E115">INDEX(Battery!C:C,D115+1)+(INDEX(Battery!C:C,D115)-INDEX(Battery!C:C,D115+1))/(INDEX(Battery!B:B,D115)-INDEX(Battery!C:C,B115+1))*(B115-INDEX(Battery!C:C,B115+1))</f>
        <v>3.7348638452026406</v>
      </c>
      <c r="F115">
        <f t="shared" si="10"/>
        <v>3.5750000000000002</v>
      </c>
      <c r="G115">
        <f>MATCH(F115,Load!A:A,-1)</f>
        <v>9</v>
      </c>
      <c r="H115">
        <f t="shared" si="11"/>
        <v>86.415300000000016</v>
      </c>
      <c r="I115">
        <f t="shared" si="13"/>
        <v>8.6415300000001238</v>
      </c>
      <c r="J115">
        <f t="shared" si="12"/>
        <v>95.719687468447276</v>
      </c>
    </row>
    <row r="116" spans="1:10" x14ac:dyDescent="0.3">
      <c r="A116">
        <v>11.3</v>
      </c>
      <c r="B116">
        <f t="shared" si="5"/>
        <v>34.90047399999974</v>
      </c>
      <c r="C116">
        <f t="shared" si="14"/>
        <v>523.50710999999603</v>
      </c>
      <c r="D116">
        <f>MATCH(B116,Battery!B:B,-1)</f>
        <v>21</v>
      </c>
      <c r="E116" cm="1">
        <f t="array" ref="E116">INDEX(Battery!C:C,D116+1)+(INDEX(Battery!C:C,D116)-INDEX(Battery!C:C,D116+1))/(INDEX(Battery!B:B,D116)-INDEX(Battery!C:C,B116+1))*(B116-INDEX(Battery!C:C,B116+1))</f>
        <v>3.734620763965121</v>
      </c>
      <c r="F116">
        <f t="shared" si="10"/>
        <v>3.5750000000000002</v>
      </c>
      <c r="G116">
        <f>MATCH(F116,Load!A:A,-1)</f>
        <v>9</v>
      </c>
      <c r="H116">
        <f t="shared" si="11"/>
        <v>86.415300000000016</v>
      </c>
      <c r="I116">
        <f t="shared" si="13"/>
        <v>8.6415299999999711</v>
      </c>
      <c r="J116">
        <f t="shared" si="12"/>
        <v>95.725917728908897</v>
      </c>
    </row>
    <row r="117" spans="1:10" x14ac:dyDescent="0.3">
      <c r="A117">
        <v>11.4</v>
      </c>
      <c r="B117">
        <f t="shared" si="5"/>
        <v>34.324371999999734</v>
      </c>
      <c r="C117">
        <f t="shared" si="14"/>
        <v>514.86557999999604</v>
      </c>
      <c r="D117">
        <f>MATCH(B117,Battery!B:B,-1)</f>
        <v>21</v>
      </c>
      <c r="E117" cm="1">
        <f t="array" ref="E117">INDEX(Battery!C:C,D117+1)+(INDEX(Battery!C:C,D117)-INDEX(Battery!C:C,D117+1))/(INDEX(Battery!B:B,D117)-INDEX(Battery!C:C,B117+1))*(B117-INDEX(Battery!C:C,B117+1))</f>
        <v>3.734378667750136</v>
      </c>
      <c r="F117">
        <f t="shared" si="10"/>
        <v>3.5750000000000002</v>
      </c>
      <c r="G117">
        <f>MATCH(F117,Load!A:A,-1)</f>
        <v>9</v>
      </c>
      <c r="H117">
        <f t="shared" si="11"/>
        <v>86.415300000000016</v>
      </c>
      <c r="I117">
        <f t="shared" si="13"/>
        <v>8.6415299999999711</v>
      </c>
      <c r="J117">
        <f t="shared" si="12"/>
        <v>95.732123549051948</v>
      </c>
    </row>
    <row r="118" spans="1:10" x14ac:dyDescent="0.3">
      <c r="A118">
        <v>11.5</v>
      </c>
      <c r="B118">
        <f t="shared" si="5"/>
        <v>33.748269999999735</v>
      </c>
      <c r="C118">
        <f t="shared" si="14"/>
        <v>506.22404999999605</v>
      </c>
      <c r="D118">
        <f>MATCH(B118,Battery!B:B,-1)</f>
        <v>21</v>
      </c>
      <c r="E118" cm="1">
        <f t="array" ref="E118">INDEX(Battery!C:C,D118+1)+(INDEX(Battery!C:C,D118)-INDEX(Battery!C:C,D118+1))/(INDEX(Battery!B:B,D118)-INDEX(Battery!C:C,B118+1))*(B118-INDEX(Battery!C:C,B118+1))</f>
        <v>3.7341346525079779</v>
      </c>
      <c r="F118">
        <f t="shared" si="10"/>
        <v>3.5750000000000002</v>
      </c>
      <c r="G118">
        <f>MATCH(F118,Load!A:A,-1)</f>
        <v>9</v>
      </c>
      <c r="H118">
        <f t="shared" si="11"/>
        <v>86.415300000000016</v>
      </c>
      <c r="I118">
        <f t="shared" si="13"/>
        <v>8.6415299999999711</v>
      </c>
      <c r="J118">
        <f t="shared" si="12"/>
        <v>95.738379375229627</v>
      </c>
    </row>
    <row r="119" spans="1:10" x14ac:dyDescent="0.3">
      <c r="A119">
        <v>11.6</v>
      </c>
      <c r="B119">
        <f t="shared" si="5"/>
        <v>33.172167999999736</v>
      </c>
      <c r="C119">
        <f t="shared" si="14"/>
        <v>497.58251999999607</v>
      </c>
      <c r="D119">
        <f>MATCH(B119,Battery!B:B,-1)</f>
        <v>21</v>
      </c>
      <c r="E119" cm="1">
        <f t="array" ref="E119">INDEX(Battery!C:C,D119+1)+(INDEX(Battery!C:C,D119)-INDEX(Battery!C:C,D119+1))/(INDEX(Battery!B:B,D119)-INDEX(Battery!C:C,B119+1))*(B119-INDEX(Battery!C:C,B119+1))</f>
        <v>3.7338921940206315</v>
      </c>
      <c r="F119">
        <f t="shared" si="10"/>
        <v>3.5750000000000002</v>
      </c>
      <c r="G119">
        <f>MATCH(F119,Load!A:A,-1)</f>
        <v>9</v>
      </c>
      <c r="H119">
        <f t="shared" si="11"/>
        <v>86.415300000000016</v>
      </c>
      <c r="I119">
        <f t="shared" si="13"/>
        <v>8.6415299999999711</v>
      </c>
      <c r="J119">
        <f t="shared" si="12"/>
        <v>95.744596100683424</v>
      </c>
    </row>
    <row r="120" spans="1:10" x14ac:dyDescent="0.3">
      <c r="A120">
        <v>11.7</v>
      </c>
      <c r="B120">
        <f t="shared" si="5"/>
        <v>32.596065999999738</v>
      </c>
      <c r="C120">
        <f t="shared" si="14"/>
        <v>488.94098999999608</v>
      </c>
      <c r="D120">
        <f>MATCH(B120,Battery!B:B,-1)</f>
        <v>21</v>
      </c>
      <c r="E120" cm="1">
        <f t="array" ref="E120">INDEX(Battery!C:C,D120+1)+(INDEX(Battery!C:C,D120)-INDEX(Battery!C:C,D120+1))/(INDEX(Battery!B:B,D120)-INDEX(Battery!C:C,B120+1))*(B120-INDEX(Battery!C:C,B120+1))</f>
        <v>3.7336468350568066</v>
      </c>
      <c r="F120">
        <f t="shared" si="10"/>
        <v>3.5750000000000002</v>
      </c>
      <c r="G120">
        <f>MATCH(F120,Load!A:A,-1)</f>
        <v>9</v>
      </c>
      <c r="H120">
        <f t="shared" si="11"/>
        <v>86.415300000000016</v>
      </c>
      <c r="I120">
        <f t="shared" si="13"/>
        <v>8.6415300000001238</v>
      </c>
      <c r="J120">
        <f t="shared" si="12"/>
        <v>95.750888017388164</v>
      </c>
    </row>
    <row r="121" spans="1:10" x14ac:dyDescent="0.3">
      <c r="A121">
        <v>11.8</v>
      </c>
      <c r="B121">
        <f t="shared" si="5"/>
        <v>32.019963999999732</v>
      </c>
      <c r="C121">
        <f t="shared" si="14"/>
        <v>480.29945999999597</v>
      </c>
      <c r="D121">
        <f>MATCH(B121,Battery!B:B,-1)</f>
        <v>21</v>
      </c>
      <c r="E121" cm="1">
        <f t="array" ref="E121">INDEX(Battery!C:C,D121+1)+(INDEX(Battery!C:C,D121)-INDEX(Battery!C:C,D121+1))/(INDEX(Battery!B:B,D121)-INDEX(Battery!C:C,B121+1))*(B121-INDEX(Battery!C:C,B121+1))</f>
        <v>3.7334039790911597</v>
      </c>
      <c r="F121">
        <f t="shared" si="10"/>
        <v>3.5750000000000002</v>
      </c>
      <c r="G121">
        <f>MATCH(F121,Load!A:A,-1)</f>
        <v>9</v>
      </c>
      <c r="H121">
        <f t="shared" si="11"/>
        <v>86.415300000000016</v>
      </c>
      <c r="I121">
        <f t="shared" si="13"/>
        <v>8.6415299999999711</v>
      </c>
      <c r="J121">
        <f t="shared" si="12"/>
        <v>95.757116562303537</v>
      </c>
    </row>
    <row r="122" spans="1:10" x14ac:dyDescent="0.3">
      <c r="A122">
        <v>11.9</v>
      </c>
      <c r="B122">
        <f t="shared" si="5"/>
        <v>31.443861999999733</v>
      </c>
      <c r="C122">
        <f t="shared" si="14"/>
        <v>471.65792999999599</v>
      </c>
      <c r="D122">
        <f>MATCH(B122,Battery!B:B,-1)</f>
        <v>21</v>
      </c>
      <c r="E122" cm="1">
        <f t="array" ref="E122">INDEX(Battery!C:C,D122+1)+(INDEX(Battery!C:C,D122)-INDEX(Battery!C:C,D122+1))/(INDEX(Battery!B:B,D122)-INDEX(Battery!C:C,B122+1))*(B122-INDEX(Battery!C:C,B122+1))</f>
        <v>3.7331576277501388</v>
      </c>
      <c r="F122">
        <f t="shared" si="10"/>
        <v>3.5750000000000002</v>
      </c>
      <c r="G122">
        <f>MATCH(F122,Load!A:A,-1)</f>
        <v>9</v>
      </c>
      <c r="H122">
        <f t="shared" si="11"/>
        <v>86.415300000000016</v>
      </c>
      <c r="I122">
        <f t="shared" si="13"/>
        <v>8.6415299999999711</v>
      </c>
      <c r="J122">
        <f t="shared" si="12"/>
        <v>95.763435581329702</v>
      </c>
    </row>
    <row r="123" spans="1:10" x14ac:dyDescent="0.3">
      <c r="A123">
        <v>12</v>
      </c>
      <c r="B123">
        <f t="shared" si="5"/>
        <v>30.867759999999734</v>
      </c>
      <c r="C123">
        <f t="shared" si="14"/>
        <v>463.016399999996</v>
      </c>
      <c r="D123">
        <f>MATCH(B123,Battery!B:B,-1)</f>
        <v>22</v>
      </c>
      <c r="E123" cm="1">
        <f t="array" ref="E123">INDEX(Battery!C:C,D123+1)+(INDEX(Battery!C:C,D123)-INDEX(Battery!C:C,D123+1))/(INDEX(Battery!B:B,D123)-INDEX(Battery!C:C,B123+1))*(B123-INDEX(Battery!C:C,B123+1))</f>
        <v>3.7210456198590811</v>
      </c>
      <c r="F123">
        <f t="shared" si="10"/>
        <v>3.5750000000000002</v>
      </c>
      <c r="G123">
        <f>MATCH(F123,Load!A:A,-1)</f>
        <v>9</v>
      </c>
      <c r="H123">
        <f t="shared" si="11"/>
        <v>86.415300000000016</v>
      </c>
      <c r="I123">
        <f t="shared" si="13"/>
        <v>8.6415299999999711</v>
      </c>
      <c r="J123">
        <f t="shared" si="12"/>
        <v>96.075145677342931</v>
      </c>
    </row>
    <row r="124" spans="1:10" x14ac:dyDescent="0.3">
      <c r="A124">
        <v>12.1</v>
      </c>
      <c r="B124">
        <f t="shared" si="5"/>
        <v>30.291657999999732</v>
      </c>
      <c r="C124">
        <f t="shared" ref="C124:C183" si="15">C123-I123</f>
        <v>454.37486999999601</v>
      </c>
      <c r="D124">
        <f>MATCH(B124,Battery!B:B,-1)</f>
        <v>22</v>
      </c>
      <c r="E124" cm="1">
        <f t="array" ref="E124">INDEX(Battery!C:C,D124+1)+(INDEX(Battery!C:C,D124)-INDEX(Battery!C:C,D124+1))/(INDEX(Battery!B:B,D124)-INDEX(Battery!C:C,B124+1))*(B124-INDEX(Battery!C:C,B124+1))</f>
        <v>3.7206895949952008</v>
      </c>
      <c r="F124">
        <f t="shared" si="10"/>
        <v>3.5750000000000002</v>
      </c>
      <c r="G124">
        <f>MATCH(F124,Load!A:A,-1)</f>
        <v>9</v>
      </c>
      <c r="H124">
        <f t="shared" si="11"/>
        <v>86.415300000000016</v>
      </c>
      <c r="I124">
        <f t="shared" ref="I124:I183" si="16">H124*(A125-A124)</f>
        <v>8.6415299999999711</v>
      </c>
      <c r="J124">
        <f t="shared" si="12"/>
        <v>96.084338903434158</v>
      </c>
    </row>
    <row r="125" spans="1:10" x14ac:dyDescent="0.3">
      <c r="A125">
        <v>12.2</v>
      </c>
      <c r="B125">
        <f t="shared" si="5"/>
        <v>29.715555999999733</v>
      </c>
      <c r="C125">
        <f t="shared" si="15"/>
        <v>445.73333999999602</v>
      </c>
      <c r="D125">
        <f>MATCH(B125,Battery!B:B,-1)</f>
        <v>22</v>
      </c>
      <c r="E125" cm="1">
        <f t="array" ref="E125">INDEX(Battery!C:C,D125+1)+(INDEX(Battery!C:C,D125)-INDEX(Battery!C:C,D125+1))/(INDEX(Battery!B:B,D125)-INDEX(Battery!C:C,B125+1))*(B125-INDEX(Battery!C:C,B125+1))</f>
        <v>3.7203323236435319</v>
      </c>
      <c r="F125">
        <f t="shared" si="10"/>
        <v>3.5750000000000002</v>
      </c>
      <c r="G125">
        <f>MATCH(F125,Load!A:A,-1)</f>
        <v>9</v>
      </c>
      <c r="H125">
        <f t="shared" si="11"/>
        <v>86.415300000000016</v>
      </c>
      <c r="I125">
        <f t="shared" si="16"/>
        <v>8.6415300000001238</v>
      </c>
      <c r="J125">
        <f t="shared" si="12"/>
        <v>96.093566084945891</v>
      </c>
    </row>
    <row r="126" spans="1:10" x14ac:dyDescent="0.3">
      <c r="A126">
        <v>12.3</v>
      </c>
      <c r="B126">
        <f t="shared" si="5"/>
        <v>29.139453999999727</v>
      </c>
      <c r="C126">
        <f t="shared" si="15"/>
        <v>437.09180999999592</v>
      </c>
      <c r="D126">
        <f>MATCH(B126,Battery!B:B,-1)</f>
        <v>22</v>
      </c>
      <c r="E126" cm="1">
        <f t="array" ref="E126">INDEX(Battery!C:C,D126+1)+(INDEX(Battery!C:C,D126)-INDEX(Battery!C:C,D126+1))/(INDEX(Battery!B:B,D126)-INDEX(Battery!C:C,B126+1))*(B126-INDEX(Battery!C:C,B126+1))</f>
        <v>3.7199758581959972</v>
      </c>
      <c r="F126">
        <f t="shared" si="10"/>
        <v>3.5750000000000002</v>
      </c>
      <c r="G126">
        <f>MATCH(F126,Load!A:A,-1)</f>
        <v>9</v>
      </c>
      <c r="H126">
        <f t="shared" si="11"/>
        <v>86.415300000000016</v>
      </c>
      <c r="I126">
        <f t="shared" si="16"/>
        <v>8.6415299999999711</v>
      </c>
      <c r="J126">
        <f t="shared" si="12"/>
        <v>96.102774218908422</v>
      </c>
    </row>
    <row r="127" spans="1:10" x14ac:dyDescent="0.3">
      <c r="A127">
        <v>12.4</v>
      </c>
      <c r="B127">
        <f t="shared" si="5"/>
        <v>28.563351999999732</v>
      </c>
      <c r="C127">
        <f t="shared" si="15"/>
        <v>428.45027999999593</v>
      </c>
      <c r="D127">
        <f>MATCH(B127,Battery!B:B,-1)</f>
        <v>22</v>
      </c>
      <c r="E127" cm="1">
        <f t="array" ref="E127">INDEX(Battery!C:C,D127+1)+(INDEX(Battery!C:C,D127)-INDEX(Battery!C:C,D127+1))/(INDEX(Battery!B:B,D127)-INDEX(Battery!C:C,B127+1))*(B127-INDEX(Battery!C:C,B127+1))</f>
        <v>3.7196169685625522</v>
      </c>
      <c r="F127">
        <f t="shared" si="10"/>
        <v>3.5750000000000002</v>
      </c>
      <c r="G127">
        <f>MATCH(F127,Load!A:A,-1)</f>
        <v>9</v>
      </c>
      <c r="H127">
        <f t="shared" si="11"/>
        <v>86.415300000000016</v>
      </c>
      <c r="I127">
        <f t="shared" si="16"/>
        <v>8.6415299999999711</v>
      </c>
      <c r="J127">
        <f t="shared" si="12"/>
        <v>96.112046756834772</v>
      </c>
    </row>
    <row r="128" spans="1:10" x14ac:dyDescent="0.3">
      <c r="A128">
        <v>12.5</v>
      </c>
      <c r="B128">
        <f t="shared" si="5"/>
        <v>27.98724999999973</v>
      </c>
      <c r="C128">
        <f t="shared" si="15"/>
        <v>419.80874999999594</v>
      </c>
      <c r="D128">
        <f>MATCH(B128,Battery!B:B,-1)</f>
        <v>22</v>
      </c>
      <c r="E128" cm="1">
        <f t="array" ref="E128">INDEX(Battery!C:C,D128+1)+(INDEX(Battery!C:C,D128)-INDEX(Battery!C:C,D128+1))/(INDEX(Battery!B:B,D128)-INDEX(Battery!C:C,B128+1))*(B128-INDEX(Battery!C:C,B128+1))</f>
        <v>3.7192576542523463</v>
      </c>
      <c r="F128">
        <f t="shared" si="10"/>
        <v>3.5750000000000002</v>
      </c>
      <c r="G128">
        <f>MATCH(F128,Load!A:A,-1)</f>
        <v>9</v>
      </c>
      <c r="H128">
        <f t="shared" si="11"/>
        <v>86.415300000000016</v>
      </c>
      <c r="I128">
        <f t="shared" si="16"/>
        <v>8.6415299999999711</v>
      </c>
      <c r="J128">
        <f t="shared" si="12"/>
        <v>96.121332059707882</v>
      </c>
    </row>
    <row r="129" spans="1:10" x14ac:dyDescent="0.3">
      <c r="A129">
        <v>12.6</v>
      </c>
      <c r="B129">
        <f t="shared" si="5"/>
        <v>27.411147999999731</v>
      </c>
      <c r="C129">
        <f t="shared" si="15"/>
        <v>411.16721999999595</v>
      </c>
      <c r="D129">
        <f>MATCH(B129,Battery!B:B,-1)</f>
        <v>22</v>
      </c>
      <c r="E129" cm="1">
        <f t="array" ref="E129">INDEX(Battery!C:C,D129+1)+(INDEX(Battery!C:C,D129)-INDEX(Battery!C:C,D129+1))/(INDEX(Battery!B:B,D129)-INDEX(Battery!C:C,B129+1))*(B129-INDEX(Battery!C:C,B129+1))</f>
        <v>3.7189002842086114</v>
      </c>
      <c r="F129">
        <f t="shared" si="10"/>
        <v>3.5750000000000002</v>
      </c>
      <c r="G129">
        <f>MATCH(F129,Load!A:A,-1)</f>
        <v>9</v>
      </c>
      <c r="H129">
        <f t="shared" si="11"/>
        <v>86.415300000000016</v>
      </c>
      <c r="I129">
        <f t="shared" si="16"/>
        <v>8.6415299999999711</v>
      </c>
      <c r="J129">
        <f t="shared" si="12"/>
        <v>96.130568899100425</v>
      </c>
    </row>
    <row r="130" spans="1:10" x14ac:dyDescent="0.3">
      <c r="A130">
        <v>12.7</v>
      </c>
      <c r="B130">
        <f t="shared" si="5"/>
        <v>26.835045999999728</v>
      </c>
      <c r="C130">
        <f t="shared" si="15"/>
        <v>402.52568999999596</v>
      </c>
      <c r="D130">
        <f>MATCH(B130,Battery!B:B,-1)</f>
        <v>22</v>
      </c>
      <c r="E130" cm="1">
        <f t="array" ref="E130">INDEX(Battery!C:C,D130+1)+(INDEX(Battery!C:C,D130)-INDEX(Battery!C:C,D130+1))/(INDEX(Battery!B:B,D130)-INDEX(Battery!C:C,B130+1))*(B130-INDEX(Battery!C:C,B130+1))</f>
        <v>3.7185429141648769</v>
      </c>
      <c r="F130">
        <f t="shared" si="10"/>
        <v>3.5750000000000002</v>
      </c>
      <c r="G130">
        <f>MATCH(F130,Load!A:A,-1)</f>
        <v>9</v>
      </c>
      <c r="H130">
        <f t="shared" si="11"/>
        <v>86.415300000000016</v>
      </c>
      <c r="I130">
        <f t="shared" si="16"/>
        <v>8.6415300000001238</v>
      </c>
      <c r="J130">
        <f t="shared" si="12"/>
        <v>96.139807513903222</v>
      </c>
    </row>
    <row r="131" spans="1:10" x14ac:dyDescent="0.3">
      <c r="A131">
        <v>12.8</v>
      </c>
      <c r="B131">
        <f t="shared" si="5"/>
        <v>26.258943999999723</v>
      </c>
      <c r="C131">
        <f t="shared" si="15"/>
        <v>393.88415999999586</v>
      </c>
      <c r="D131">
        <f>MATCH(B131,Battery!B:B,-1)</f>
        <v>22</v>
      </c>
      <c r="E131" cm="1">
        <f t="array" ref="E131">INDEX(Battery!C:C,D131+1)+(INDEX(Battery!C:C,D131)-INDEX(Battery!C:C,D131+1))/(INDEX(Battery!B:B,D131)-INDEX(Battery!C:C,B131+1))*(B131-INDEX(Battery!C:C,B131+1))</f>
        <v>3.718185544121142</v>
      </c>
      <c r="F131">
        <f t="shared" si="10"/>
        <v>3.5750000000000002</v>
      </c>
      <c r="G131">
        <f>MATCH(F131,Load!A:A,-1)</f>
        <v>9</v>
      </c>
      <c r="H131">
        <f t="shared" si="11"/>
        <v>86.415300000000016</v>
      </c>
      <c r="I131">
        <f t="shared" si="16"/>
        <v>8.6415299999999711</v>
      </c>
      <c r="J131">
        <f t="shared" si="12"/>
        <v>96.149047904628276</v>
      </c>
    </row>
    <row r="132" spans="1:10" x14ac:dyDescent="0.3">
      <c r="A132">
        <v>12.9</v>
      </c>
      <c r="B132">
        <f t="shared" si="5"/>
        <v>25.682841999999724</v>
      </c>
      <c r="C132">
        <f t="shared" si="15"/>
        <v>385.24262999999587</v>
      </c>
      <c r="D132">
        <f>MATCH(B132,Battery!B:B,-1)</f>
        <v>23</v>
      </c>
      <c r="E132" cm="1">
        <f t="array" ref="E132">INDEX(Battery!C:C,D132+1)+(INDEX(Battery!C:C,D132)-INDEX(Battery!C:C,D132+1))/(INDEX(Battery!B:B,D132)-INDEX(Battery!C:C,B132+1))*(B132-INDEX(Battery!C:C,B132+1))</f>
        <v>3.7037638818758727</v>
      </c>
      <c r="F132">
        <f t="shared" ref="F132:F183" si="17">MIN($L$3,E132-$M$3)-$N$3</f>
        <v>3.5750000000000002</v>
      </c>
      <c r="G132">
        <f>MATCH(F132,Load!A:A,-1)</f>
        <v>9</v>
      </c>
      <c r="H132">
        <f t="shared" ref="H132:H183" si="18" xml:space="preserve"> 22.6* F132+ 5.5703+$O$3*0.001</f>
        <v>86.415300000000016</v>
      </c>
      <c r="I132">
        <f t="shared" si="16"/>
        <v>8.6415299999999711</v>
      </c>
      <c r="J132">
        <f t="shared" ref="J132:J183" si="19">(H132*F132)/(E132*H132)*100</f>
        <v>96.523431677003771</v>
      </c>
    </row>
    <row r="133" spans="1:10" x14ac:dyDescent="0.3">
      <c r="A133">
        <v>13</v>
      </c>
      <c r="B133">
        <f t="shared" si="5"/>
        <v>25.106739999999728</v>
      </c>
      <c r="C133">
        <f t="shared" si="15"/>
        <v>376.60109999999588</v>
      </c>
      <c r="D133">
        <f>MATCH(B133,Battery!B:B,-1)</f>
        <v>23</v>
      </c>
      <c r="E133" cm="1">
        <f t="array" ref="E133">INDEX(Battery!C:C,D133+1)+(INDEX(Battery!C:C,D133)-INDEX(Battery!C:C,D133+1))/(INDEX(Battery!B:B,D133)-INDEX(Battery!C:C,B133+1))*(B133-INDEX(Battery!C:C,B133+1))</f>
        <v>3.7031605777251295</v>
      </c>
      <c r="F133">
        <f t="shared" si="17"/>
        <v>3.5750000000000002</v>
      </c>
      <c r="G133">
        <f>MATCH(F133,Load!A:A,-1)</f>
        <v>9</v>
      </c>
      <c r="H133">
        <f t="shared" si="18"/>
        <v>86.415300000000016</v>
      </c>
      <c r="I133">
        <f t="shared" si="16"/>
        <v>8.6415299999999711</v>
      </c>
      <c r="J133">
        <f t="shared" si="19"/>
        <v>96.539156889495231</v>
      </c>
    </row>
    <row r="134" spans="1:10" x14ac:dyDescent="0.3">
      <c r="A134">
        <v>13.1</v>
      </c>
      <c r="B134">
        <f t="shared" si="5"/>
        <v>24.530637999999726</v>
      </c>
      <c r="C134">
        <f t="shared" si="15"/>
        <v>367.95956999999589</v>
      </c>
      <c r="D134">
        <f>MATCH(B134,Battery!B:B,-1)</f>
        <v>23</v>
      </c>
      <c r="E134" cm="1">
        <f t="array" ref="E134">INDEX(Battery!C:C,D134+1)+(INDEX(Battery!C:C,D134)-INDEX(Battery!C:C,D134+1))/(INDEX(Battery!B:B,D134)-INDEX(Battery!C:C,B134+1))*(B134-INDEX(Battery!C:C,B134+1))</f>
        <v>3.7025556205761418</v>
      </c>
      <c r="F134">
        <f t="shared" si="17"/>
        <v>3.5750000000000002</v>
      </c>
      <c r="G134">
        <f>MATCH(F134,Load!A:A,-1)</f>
        <v>9</v>
      </c>
      <c r="H134">
        <f t="shared" si="18"/>
        <v>86.415300000000016</v>
      </c>
      <c r="I134">
        <f t="shared" si="16"/>
        <v>8.6415299999999711</v>
      </c>
      <c r="J134">
        <f t="shared" si="19"/>
        <v>96.554930333327633</v>
      </c>
    </row>
    <row r="135" spans="1:10" x14ac:dyDescent="0.3">
      <c r="A135">
        <v>13.2</v>
      </c>
      <c r="B135">
        <f t="shared" si="5"/>
        <v>23.954535999999727</v>
      </c>
      <c r="C135">
        <f t="shared" si="15"/>
        <v>359.3180399999959</v>
      </c>
      <c r="D135">
        <f>MATCH(B135,Battery!B:B,-1)</f>
        <v>23</v>
      </c>
      <c r="E135" cm="1">
        <f t="array" ref="E135">INDEX(Battery!C:C,D135+1)+(INDEX(Battery!C:C,D135)-INDEX(Battery!C:C,D135+1))/(INDEX(Battery!B:B,D135)-INDEX(Battery!C:C,B135+1))*(B135-INDEX(Battery!C:C,B135+1))</f>
        <v>3.7019490879934942</v>
      </c>
      <c r="F135">
        <f t="shared" si="17"/>
        <v>3.5750000000000002</v>
      </c>
      <c r="G135">
        <f>MATCH(F135,Load!A:A,-1)</f>
        <v>9</v>
      </c>
      <c r="H135">
        <f t="shared" si="18"/>
        <v>86.415300000000016</v>
      </c>
      <c r="I135">
        <f t="shared" si="16"/>
        <v>8.6415300000001238</v>
      </c>
      <c r="J135">
        <f t="shared" si="19"/>
        <v>96.570750029890291</v>
      </c>
    </row>
    <row r="136" spans="1:10" x14ac:dyDescent="0.3">
      <c r="A136">
        <v>13.3</v>
      </c>
      <c r="B136">
        <f t="shared" si="5"/>
        <v>23.378433999999721</v>
      </c>
      <c r="C136">
        <f t="shared" si="15"/>
        <v>350.6765099999958</v>
      </c>
      <c r="D136">
        <f>MATCH(B136,Battery!B:B,-1)</f>
        <v>23</v>
      </c>
      <c r="E136" cm="1">
        <f t="array" ref="E136">INDEX(Battery!C:C,D136+1)+(INDEX(Battery!C:C,D136)-INDEX(Battery!C:C,D136+1))/(INDEX(Battery!B:B,D136)-INDEX(Battery!C:C,B136+1))*(B136-INDEX(Battery!C:C,B136+1))</f>
        <v>3.7013444330043628</v>
      </c>
      <c r="F136">
        <f t="shared" si="17"/>
        <v>3.5750000000000002</v>
      </c>
      <c r="G136">
        <f>MATCH(F136,Load!A:A,-1)</f>
        <v>9</v>
      </c>
      <c r="H136">
        <f t="shared" si="18"/>
        <v>86.415300000000016</v>
      </c>
      <c r="I136">
        <f t="shared" si="16"/>
        <v>8.6415299999999711</v>
      </c>
      <c r="J136">
        <f t="shared" si="19"/>
        <v>96.586525915346684</v>
      </c>
    </row>
    <row r="137" spans="1:10" x14ac:dyDescent="0.3">
      <c r="A137">
        <v>13.4</v>
      </c>
      <c r="B137">
        <f t="shared" si="5"/>
        <v>22.802331999999719</v>
      </c>
      <c r="C137">
        <f t="shared" si="15"/>
        <v>342.03497999999581</v>
      </c>
      <c r="D137">
        <f>MATCH(B137,Battery!B:B,-1)</f>
        <v>23</v>
      </c>
      <c r="E137" cm="1">
        <f t="array" ref="E137">INDEX(Battery!C:C,D137+1)+(INDEX(Battery!C:C,D137)-INDEX(Battery!C:C,D137+1))/(INDEX(Battery!B:B,D137)-INDEX(Battery!C:C,B137+1))*(B137-INDEX(Battery!C:C,B137+1))</f>
        <v>3.7007362117327283</v>
      </c>
      <c r="F137">
        <f t="shared" si="17"/>
        <v>3.5750000000000002</v>
      </c>
      <c r="G137">
        <f>MATCH(F137,Load!A:A,-1)</f>
        <v>9</v>
      </c>
      <c r="H137">
        <f t="shared" si="18"/>
        <v>86.415300000000016</v>
      </c>
      <c r="I137">
        <f t="shared" si="16"/>
        <v>8.6415299999999711</v>
      </c>
      <c r="J137">
        <f t="shared" si="19"/>
        <v>96.602400048560682</v>
      </c>
    </row>
    <row r="138" spans="1:10" x14ac:dyDescent="0.3">
      <c r="A138">
        <v>13.5</v>
      </c>
      <c r="B138">
        <f t="shared" si="5"/>
        <v>22.22622999999972</v>
      </c>
      <c r="C138">
        <f t="shared" si="15"/>
        <v>333.39344999999582</v>
      </c>
      <c r="D138">
        <f>MATCH(B138,Battery!B:B,-1)</f>
        <v>23</v>
      </c>
      <c r="E138" cm="1">
        <f t="array" ref="E138">INDEX(Battery!C:C,D138+1)+(INDEX(Battery!C:C,D138)-INDEX(Battery!C:C,D138+1))/(INDEX(Battery!B:B,D138)-INDEX(Battery!C:C,B138+1))*(B138-INDEX(Battery!C:C,B138+1))</f>
        <v>3.7001309214536882</v>
      </c>
      <c r="F138">
        <f t="shared" si="17"/>
        <v>3.5750000000000002</v>
      </c>
      <c r="G138">
        <f>MATCH(F138,Load!A:A,-1)</f>
        <v>9</v>
      </c>
      <c r="H138">
        <f t="shared" si="18"/>
        <v>86.415300000000016</v>
      </c>
      <c r="I138">
        <f t="shared" si="16"/>
        <v>8.6415299999999711</v>
      </c>
      <c r="J138">
        <f t="shared" si="19"/>
        <v>96.618202866061637</v>
      </c>
    </row>
    <row r="139" spans="1:10" x14ac:dyDescent="0.3">
      <c r="A139">
        <v>13.6</v>
      </c>
      <c r="B139">
        <f t="shared" si="5"/>
        <v>21.650127999999722</v>
      </c>
      <c r="C139">
        <f t="shared" si="15"/>
        <v>324.75191999999583</v>
      </c>
      <c r="D139">
        <f>MATCH(B139,Battery!B:B,-1)</f>
        <v>23</v>
      </c>
      <c r="E139" cm="1">
        <f t="array" ref="E139">INDEX(Battery!C:C,D139+1)+(INDEX(Battery!C:C,D139)-INDEX(Battery!C:C,D139+1))/(INDEX(Battery!B:B,D139)-INDEX(Battery!C:C,B139+1))*(B139-INDEX(Battery!C:C,B139+1))</f>
        <v>3.6995220776702107</v>
      </c>
      <c r="F139">
        <f t="shared" si="17"/>
        <v>3.5750000000000002</v>
      </c>
      <c r="G139">
        <f>MATCH(F139,Load!A:A,-1)</f>
        <v>9</v>
      </c>
      <c r="H139">
        <f t="shared" si="18"/>
        <v>86.415300000000016</v>
      </c>
      <c r="I139">
        <f t="shared" si="16"/>
        <v>8.6415299999999711</v>
      </c>
      <c r="J139">
        <f t="shared" si="19"/>
        <v>96.634103674585219</v>
      </c>
    </row>
    <row r="140" spans="1:10" x14ac:dyDescent="0.3">
      <c r="A140">
        <v>13.7</v>
      </c>
      <c r="B140">
        <f t="shared" si="5"/>
        <v>21.074025999999723</v>
      </c>
      <c r="C140">
        <f t="shared" si="15"/>
        <v>316.11038999999585</v>
      </c>
      <c r="D140">
        <f>MATCH(B140,Battery!B:B,-1)</f>
        <v>23</v>
      </c>
      <c r="E140" cm="1">
        <f t="array" ref="E140">INDEX(Battery!C:C,D140+1)+(INDEX(Battery!C:C,D140)-INDEX(Battery!C:C,D140+1))/(INDEX(Battery!B:B,D140)-INDEX(Battery!C:C,B140+1))*(B140-INDEX(Battery!C:C,B140+1))</f>
        <v>3.6989163206618403</v>
      </c>
      <c r="F140">
        <f t="shared" si="17"/>
        <v>3.5750000000000002</v>
      </c>
      <c r="G140">
        <f>MATCH(F140,Load!A:A,-1)</f>
        <v>9</v>
      </c>
      <c r="H140">
        <f t="shared" si="18"/>
        <v>86.415300000000016</v>
      </c>
      <c r="I140">
        <f t="shared" si="16"/>
        <v>8.6415300000001238</v>
      </c>
      <c r="J140">
        <f t="shared" si="19"/>
        <v>96.649929062475579</v>
      </c>
    </row>
    <row r="141" spans="1:10" x14ac:dyDescent="0.3">
      <c r="A141">
        <v>13.8</v>
      </c>
      <c r="B141">
        <f t="shared" si="5"/>
        <v>20.497923999999717</v>
      </c>
      <c r="C141">
        <f t="shared" si="15"/>
        <v>307.46885999999574</v>
      </c>
      <c r="D141">
        <f>MATCH(B141,Battery!B:B,-1)</f>
        <v>24</v>
      </c>
      <c r="E141" cm="1">
        <f t="array" ref="E141">INDEX(Battery!C:C,D141+1)+(INDEX(Battery!C:C,D141)-INDEX(Battery!C:C,D141+1))/(INDEX(Battery!B:B,D141)-INDEX(Battery!C:C,B141+1))*(B141-INDEX(Battery!C:C,B141+1))</f>
        <v>3.6799789092439523</v>
      </c>
      <c r="F141">
        <f t="shared" si="17"/>
        <v>3.5750000000000002</v>
      </c>
      <c r="G141">
        <f>MATCH(F141,Load!A:A,-1)</f>
        <v>9</v>
      </c>
      <c r="H141">
        <f t="shared" si="18"/>
        <v>86.415300000000016</v>
      </c>
      <c r="I141">
        <f t="shared" si="16"/>
        <v>8.6415299999999711</v>
      </c>
      <c r="J141">
        <f t="shared" si="19"/>
        <v>97.147295899434383</v>
      </c>
    </row>
    <row r="142" spans="1:10" x14ac:dyDescent="0.3">
      <c r="A142">
        <v>13.9</v>
      </c>
      <c r="B142">
        <f t="shared" si="5"/>
        <v>19.921821999999718</v>
      </c>
      <c r="C142">
        <f t="shared" si="15"/>
        <v>298.82732999999575</v>
      </c>
      <c r="D142">
        <f>MATCH(B142,Battery!B:B,-1)</f>
        <v>24</v>
      </c>
      <c r="E142" cm="1">
        <f t="array" ref="E142">INDEX(Battery!C:C,D142+1)+(INDEX(Battery!C:C,D142)-INDEX(Battery!C:C,D142+1))/(INDEX(Battery!B:B,D142)-INDEX(Battery!C:C,B142+1))*(B142-INDEX(Battery!C:C,B142+1))</f>
        <v>3.679087302453754</v>
      </c>
      <c r="F142">
        <f t="shared" si="17"/>
        <v>3.5750000000000002</v>
      </c>
      <c r="G142">
        <f>MATCH(F142,Load!A:A,-1)</f>
        <v>9</v>
      </c>
      <c r="H142">
        <f t="shared" si="18"/>
        <v>86.415300000000016</v>
      </c>
      <c r="I142">
        <f t="shared" si="16"/>
        <v>8.6415299999999711</v>
      </c>
      <c r="J142">
        <f t="shared" si="19"/>
        <v>97.170839018026754</v>
      </c>
    </row>
    <row r="143" spans="1:10" x14ac:dyDescent="0.3">
      <c r="A143">
        <v>14</v>
      </c>
      <c r="B143">
        <f t="shared" si="5"/>
        <v>19.345719999999716</v>
      </c>
      <c r="C143">
        <f t="shared" si="15"/>
        <v>290.18579999999577</v>
      </c>
      <c r="D143">
        <f>MATCH(B143,Battery!B:B,-1)</f>
        <v>24</v>
      </c>
      <c r="E143" cm="1">
        <f t="array" ref="E143">INDEX(Battery!C:C,D143+1)+(INDEX(Battery!C:C,D143)-INDEX(Battery!C:C,D143+1))/(INDEX(Battery!B:B,D143)-INDEX(Battery!C:C,B143+1))*(B143-INDEX(Battery!C:C,B143+1))</f>
        <v>3.6781963247430256</v>
      </c>
      <c r="F143">
        <f t="shared" si="17"/>
        <v>3.5750000000000002</v>
      </c>
      <c r="G143">
        <f>MATCH(F143,Load!A:A,-1)</f>
        <v>9</v>
      </c>
      <c r="H143">
        <f t="shared" si="18"/>
        <v>86.415300000000016</v>
      </c>
      <c r="I143">
        <f t="shared" si="16"/>
        <v>8.6415299999999711</v>
      </c>
      <c r="J143">
        <f t="shared" si="19"/>
        <v>97.194376927386145</v>
      </c>
    </row>
    <row r="144" spans="1:10" x14ac:dyDescent="0.3">
      <c r="A144">
        <v>14.1</v>
      </c>
      <c r="B144">
        <f t="shared" si="5"/>
        <v>18.769617999999717</v>
      </c>
      <c r="C144">
        <f t="shared" si="15"/>
        <v>281.54426999999578</v>
      </c>
      <c r="D144">
        <f>MATCH(B144,Battery!B:B,-1)</f>
        <v>24</v>
      </c>
      <c r="E144" cm="1">
        <f t="array" ref="E144">INDEX(Battery!C:C,D144+1)+(INDEX(Battery!C:C,D144)-INDEX(Battery!C:C,D144+1))/(INDEX(Battery!B:B,D144)-INDEX(Battery!C:C,B144+1))*(B144-INDEX(Battery!C:C,B144+1))</f>
        <v>3.6773013625909901</v>
      </c>
      <c r="F144">
        <f t="shared" si="17"/>
        <v>3.5750000000000002</v>
      </c>
      <c r="G144">
        <f>MATCH(F144,Load!A:A,-1)</f>
        <v>9</v>
      </c>
      <c r="H144">
        <f t="shared" si="18"/>
        <v>86.415300000000016</v>
      </c>
      <c r="I144">
        <f t="shared" si="16"/>
        <v>8.6415299999999711</v>
      </c>
      <c r="J144">
        <f t="shared" si="19"/>
        <v>97.218031580666846</v>
      </c>
    </row>
    <row r="145" spans="1:10" x14ac:dyDescent="0.3">
      <c r="A145">
        <v>14.2</v>
      </c>
      <c r="B145">
        <f t="shared" si="5"/>
        <v>18.193515999999718</v>
      </c>
      <c r="C145">
        <f t="shared" si="15"/>
        <v>272.90273999999579</v>
      </c>
      <c r="D145">
        <f>MATCH(B145,Battery!B:B,-1)</f>
        <v>24</v>
      </c>
      <c r="E145" cm="1">
        <f t="array" ref="E145">INDEX(Battery!C:C,D145+1)+(INDEX(Battery!C:C,D145)-INDEX(Battery!C:C,D145+1))/(INDEX(Battery!B:B,D145)-INDEX(Battery!C:C,B145+1))*(B145-INDEX(Battery!C:C,B145+1))</f>
        <v>3.6764093299051703</v>
      </c>
      <c r="F145">
        <f t="shared" si="17"/>
        <v>3.5750000000000002</v>
      </c>
      <c r="G145">
        <f>MATCH(F145,Load!A:A,-1)</f>
        <v>9</v>
      </c>
      <c r="H145">
        <f t="shared" si="18"/>
        <v>86.415300000000016</v>
      </c>
      <c r="I145">
        <f t="shared" si="16"/>
        <v>8.6415300000001238</v>
      </c>
      <c r="J145">
        <f t="shared" si="19"/>
        <v>97.241620265723085</v>
      </c>
    </row>
    <row r="146" spans="1:10" x14ac:dyDescent="0.3">
      <c r="A146">
        <v>14.3</v>
      </c>
      <c r="B146">
        <f t="shared" si="5"/>
        <v>17.617413999999712</v>
      </c>
      <c r="C146">
        <f t="shared" si="15"/>
        <v>264.26120999999569</v>
      </c>
      <c r="D146">
        <f>MATCH(B146,Battery!B:B,-1)</f>
        <v>24</v>
      </c>
      <c r="E146" cm="1">
        <f t="array" ref="E146">INDEX(Battery!C:C,D146+1)+(INDEX(Battery!C:C,D146)-INDEX(Battery!C:C,D146+1))/(INDEX(Battery!B:B,D146)-INDEX(Battery!C:C,B146+1))*(B146-INDEX(Battery!C:C,B146+1))</f>
        <v>3.6755111883604985</v>
      </c>
      <c r="F146">
        <f t="shared" si="17"/>
        <v>3.5750000000000002</v>
      </c>
      <c r="G146">
        <f>MATCH(F146,Load!A:A,-1)</f>
        <v>9</v>
      </c>
      <c r="H146">
        <f t="shared" si="18"/>
        <v>86.415300000000016</v>
      </c>
      <c r="I146">
        <f t="shared" si="16"/>
        <v>8.6415299999999711</v>
      </c>
      <c r="J146">
        <f t="shared" si="19"/>
        <v>97.265382059540613</v>
      </c>
    </row>
    <row r="147" spans="1:10" x14ac:dyDescent="0.3">
      <c r="A147">
        <v>14.4</v>
      </c>
      <c r="B147">
        <f t="shared" si="5"/>
        <v>17.041311999999714</v>
      </c>
      <c r="C147">
        <f t="shared" si="15"/>
        <v>255.61967999999572</v>
      </c>
      <c r="D147">
        <f>MATCH(B147,Battery!B:B,-1)</f>
        <v>24</v>
      </c>
      <c r="E147" cm="1">
        <f t="array" ref="E147">INDEX(Battery!C:C,D147+1)+(INDEX(Battery!C:C,D147)-INDEX(Battery!C:C,D147+1))/(INDEX(Battery!B:B,D147)-INDEX(Battery!C:C,B147+1))*(B147-INDEX(Battery!C:C,B147+1))</f>
        <v>3.6746180981952015</v>
      </c>
      <c r="F147">
        <f t="shared" si="17"/>
        <v>3.5750000000000002</v>
      </c>
      <c r="G147">
        <f>MATCH(F147,Load!A:A,-1)</f>
        <v>9</v>
      </c>
      <c r="H147">
        <f t="shared" si="18"/>
        <v>86.415300000000016</v>
      </c>
      <c r="I147">
        <f t="shared" si="16"/>
        <v>8.6415299999999711</v>
      </c>
      <c r="J147">
        <f t="shared" si="19"/>
        <v>97.289021728703489</v>
      </c>
    </row>
    <row r="148" spans="1:10" x14ac:dyDescent="0.3">
      <c r="A148">
        <v>14.5</v>
      </c>
      <c r="B148">
        <f t="shared" si="5"/>
        <v>16.465209999999715</v>
      </c>
      <c r="C148">
        <f t="shared" si="15"/>
        <v>246.97814999999576</v>
      </c>
      <c r="D148">
        <f>MATCH(B148,Battery!B:B,-1)</f>
        <v>25</v>
      </c>
      <c r="E148" cm="1">
        <f t="array" ref="E148">INDEX(Battery!C:C,D148+1)+(INDEX(Battery!C:C,D148)-INDEX(Battery!C:C,D148+1))/(INDEX(Battery!B:B,D148)-INDEX(Battery!C:C,B148+1))*(B148-INDEX(Battery!C:C,B148+1))</f>
        <v>3.6536018779169419</v>
      </c>
      <c r="F148">
        <f t="shared" si="17"/>
        <v>3.5750000000000002</v>
      </c>
      <c r="G148">
        <f>MATCH(F148,Load!A:A,-1)</f>
        <v>9</v>
      </c>
      <c r="H148">
        <f t="shared" si="18"/>
        <v>86.415300000000016</v>
      </c>
      <c r="I148">
        <f t="shared" si="16"/>
        <v>8.6415299999999711</v>
      </c>
      <c r="J148">
        <f t="shared" si="19"/>
        <v>97.848646882080232</v>
      </c>
    </row>
    <row r="149" spans="1:10" x14ac:dyDescent="0.3">
      <c r="A149">
        <v>14.6</v>
      </c>
      <c r="B149">
        <f t="shared" si="5"/>
        <v>15.889107999999721</v>
      </c>
      <c r="C149">
        <f t="shared" si="15"/>
        <v>238.3366199999958</v>
      </c>
      <c r="D149">
        <f>MATCH(B149,Battery!B:B,-1)</f>
        <v>25</v>
      </c>
      <c r="E149" cm="1">
        <f t="array" ref="E149">INDEX(Battery!C:C,D149+1)+(INDEX(Battery!C:C,D149)-INDEX(Battery!C:C,D149+1))/(INDEX(Battery!B:B,D149)-INDEX(Battery!C:C,B149+1))*(B149-INDEX(Battery!C:C,B149+1))</f>
        <v>3.6525514077551788</v>
      </c>
      <c r="F149">
        <f t="shared" si="17"/>
        <v>3.5750000000000002</v>
      </c>
      <c r="G149">
        <f>MATCH(F149,Load!A:A,-1)</f>
        <v>9</v>
      </c>
      <c r="H149">
        <f t="shared" si="18"/>
        <v>86.415300000000016</v>
      </c>
      <c r="I149">
        <f t="shared" si="16"/>
        <v>8.6415299999999711</v>
      </c>
      <c r="J149">
        <f t="shared" si="19"/>
        <v>97.876788055863642</v>
      </c>
    </row>
    <row r="150" spans="1:10" x14ac:dyDescent="0.3">
      <c r="A150">
        <v>14.7</v>
      </c>
      <c r="B150">
        <f t="shared" si="5"/>
        <v>15.313005999999724</v>
      </c>
      <c r="C150">
        <f t="shared" si="15"/>
        <v>229.69508999999584</v>
      </c>
      <c r="D150">
        <f>MATCH(B150,Battery!B:B,-1)</f>
        <v>25</v>
      </c>
      <c r="E150" cm="1">
        <f t="array" ref="E150">INDEX(Battery!C:C,D150+1)+(INDEX(Battery!C:C,D150)-INDEX(Battery!C:C,D150+1))/(INDEX(Battery!B:B,D150)-INDEX(Battery!C:C,B150+1))*(B150-INDEX(Battery!C:C,B150+1))</f>
        <v>3.6515019788242187</v>
      </c>
      <c r="F150">
        <f t="shared" si="17"/>
        <v>3.5750000000000002</v>
      </c>
      <c r="G150">
        <f>MATCH(F150,Load!A:A,-1)</f>
        <v>9</v>
      </c>
      <c r="H150">
        <f t="shared" si="18"/>
        <v>86.415300000000016</v>
      </c>
      <c r="I150">
        <f t="shared" si="16"/>
        <v>8.6415300000001238</v>
      </c>
      <c r="J150">
        <f t="shared" si="19"/>
        <v>97.904917503321414</v>
      </c>
    </row>
    <row r="151" spans="1:10" x14ac:dyDescent="0.3">
      <c r="A151">
        <v>14.8</v>
      </c>
      <c r="B151">
        <f t="shared" si="5"/>
        <v>14.736903999999715</v>
      </c>
      <c r="C151">
        <f t="shared" si="15"/>
        <v>221.05355999999571</v>
      </c>
      <c r="D151">
        <f>MATCH(B151,Battery!B:B,-1)</f>
        <v>25</v>
      </c>
      <c r="E151" cm="1">
        <f t="array" ref="E151">INDEX(Battery!C:C,D151+1)+(INDEX(Battery!C:C,D151)-INDEX(Battery!C:C,D151+1))/(INDEX(Battery!B:B,D151)-INDEX(Battery!C:C,B151+1))*(B151-INDEX(Battery!C:C,B151+1))</f>
        <v>3.6504441648368049</v>
      </c>
      <c r="F151">
        <f t="shared" si="17"/>
        <v>3.5750000000000002</v>
      </c>
      <c r="G151">
        <f>MATCH(F151,Load!A:A,-1)</f>
        <v>9</v>
      </c>
      <c r="H151">
        <f t="shared" si="18"/>
        <v>86.415300000000016</v>
      </c>
      <c r="I151">
        <f t="shared" si="16"/>
        <v>8.6415299999999711</v>
      </c>
      <c r="J151">
        <f t="shared" si="19"/>
        <v>97.933288075913424</v>
      </c>
    </row>
    <row r="152" spans="1:10" x14ac:dyDescent="0.3">
      <c r="A152">
        <v>14.9</v>
      </c>
      <c r="B152">
        <f t="shared" si="5"/>
        <v>14.160801999999716</v>
      </c>
      <c r="C152">
        <f t="shared" si="15"/>
        <v>212.41202999999575</v>
      </c>
      <c r="D152">
        <f>MATCH(B152,Battery!B:B,-1)</f>
        <v>25</v>
      </c>
      <c r="E152" cm="1">
        <f t="array" ref="E152">INDEX(Battery!C:C,D152+1)+(INDEX(Battery!C:C,D152)-INDEX(Battery!C:C,D152+1))/(INDEX(Battery!B:B,D152)-INDEX(Battery!C:C,B152+1))*(B152-INDEX(Battery!C:C,B152+1))</f>
        <v>3.6493923088949094</v>
      </c>
      <c r="F152">
        <f t="shared" si="17"/>
        <v>3.5750000000000002</v>
      </c>
      <c r="G152">
        <f>MATCH(F152,Load!A:A,-1)</f>
        <v>9</v>
      </c>
      <c r="H152">
        <f t="shared" si="18"/>
        <v>86.415300000000016</v>
      </c>
      <c r="I152">
        <f t="shared" si="16"/>
        <v>8.6415299999999711</v>
      </c>
      <c r="J152">
        <f t="shared" si="19"/>
        <v>97.961515162028817</v>
      </c>
    </row>
    <row r="153" spans="1:10" x14ac:dyDescent="0.3">
      <c r="A153">
        <v>15</v>
      </c>
      <c r="B153">
        <f t="shared" si="5"/>
        <v>13.584699999999719</v>
      </c>
      <c r="C153">
        <f t="shared" si="15"/>
        <v>203.77049999999579</v>
      </c>
      <c r="D153">
        <f>MATCH(B153,Battery!B:B,-1)</f>
        <v>26</v>
      </c>
      <c r="E153" cm="1">
        <f t="array" ref="E153">INDEX(Battery!C:C,D153+1)+(INDEX(Battery!C:C,D153)-INDEX(Battery!C:C,D153+1))/(INDEX(Battery!B:B,D153)-INDEX(Battery!C:C,B153+1))*(B153-INDEX(Battery!C:C,B153+1))</f>
        <v>3.6295677742551589</v>
      </c>
      <c r="F153">
        <f t="shared" si="17"/>
        <v>3.5745677742551591</v>
      </c>
      <c r="G153">
        <f>MATCH(F153,Load!A:A,-1)</f>
        <v>9</v>
      </c>
      <c r="H153">
        <f t="shared" si="18"/>
        <v>86.405531698166598</v>
      </c>
      <c r="I153">
        <f t="shared" si="16"/>
        <v>8.6405531698166289</v>
      </c>
      <c r="J153">
        <f t="shared" si="19"/>
        <v>98.484668053587001</v>
      </c>
    </row>
    <row r="154" spans="1:10" x14ac:dyDescent="0.3">
      <c r="A154">
        <v>15.1</v>
      </c>
      <c r="B154">
        <f t="shared" si="5"/>
        <v>13.008663122011942</v>
      </c>
      <c r="C154">
        <f t="shared" si="15"/>
        <v>195.12994683017916</v>
      </c>
      <c r="D154">
        <f>MATCH(B154,Battery!B:B,-1)</f>
        <v>26</v>
      </c>
      <c r="E154" cm="1">
        <f t="array" ref="E154">INDEX(Battery!C:C,D154+1)+(INDEX(Battery!C:C,D154)-INDEX(Battery!C:C,D154+1))/(INDEX(Battery!B:B,D154)-INDEX(Battery!C:C,B154+1))*(B154-INDEX(Battery!C:C,B154+1))</f>
        <v>3.628232757163635</v>
      </c>
      <c r="F154">
        <f t="shared" si="17"/>
        <v>3.5732327571636353</v>
      </c>
      <c r="G154">
        <f>MATCH(F154,Load!A:A,-1)</f>
        <v>9</v>
      </c>
      <c r="H154">
        <f t="shared" si="18"/>
        <v>86.375360311898163</v>
      </c>
      <c r="I154">
        <f t="shared" si="16"/>
        <v>8.6375360311897857</v>
      </c>
      <c r="J154">
        <f t="shared" si="19"/>
        <v>98.484110483501738</v>
      </c>
    </row>
    <row r="155" spans="1:10" x14ac:dyDescent="0.3">
      <c r="A155">
        <v>15.2</v>
      </c>
      <c r="B155">
        <f t="shared" si="5"/>
        <v>12.432827386599291</v>
      </c>
      <c r="C155">
        <f t="shared" si="15"/>
        <v>186.49241079898937</v>
      </c>
      <c r="D155">
        <f>MATCH(B155,Battery!B:B,-1)</f>
        <v>26</v>
      </c>
      <c r="E155" cm="1">
        <f t="array" ref="E155">INDEX(Battery!C:C,D155+1)+(INDEX(Battery!C:C,D155)-INDEX(Battery!C:C,D155+1))/(INDEX(Battery!B:B,D155)-INDEX(Battery!C:C,B155+1))*(B155-INDEX(Battery!C:C,B155+1))</f>
        <v>3.6268866867707881</v>
      </c>
      <c r="F155">
        <f t="shared" si="17"/>
        <v>3.5718866867707884</v>
      </c>
      <c r="G155">
        <f>MATCH(F155,Load!A:A,-1)</f>
        <v>9</v>
      </c>
      <c r="H155">
        <f t="shared" si="18"/>
        <v>86.34493912101982</v>
      </c>
      <c r="I155">
        <f t="shared" si="16"/>
        <v>8.6344939121021049</v>
      </c>
      <c r="J155">
        <f t="shared" si="19"/>
        <v>98.483547881420876</v>
      </c>
    </row>
    <row r="156" spans="1:10" x14ac:dyDescent="0.3">
      <c r="A156">
        <v>15.3</v>
      </c>
      <c r="B156">
        <f t="shared" si="5"/>
        <v>11.857194459125818</v>
      </c>
      <c r="C156">
        <f t="shared" si="15"/>
        <v>177.85791688688727</v>
      </c>
      <c r="D156">
        <f>MATCH(B156,Battery!B:B,-1)</f>
        <v>26</v>
      </c>
      <c r="E156" cm="1">
        <f t="array" ref="E156">INDEX(Battery!C:C,D156+1)+(INDEX(Battery!C:C,D156)-INDEX(Battery!C:C,D156+1))/(INDEX(Battery!B:B,D156)-INDEX(Battery!C:C,B156+1))*(B156-INDEX(Battery!C:C,B156+1))</f>
        <v>3.6255327185563559</v>
      </c>
      <c r="F156">
        <f t="shared" si="17"/>
        <v>3.5705327185563562</v>
      </c>
      <c r="G156">
        <f>MATCH(F156,Load!A:A,-1)</f>
        <v>9</v>
      </c>
      <c r="H156">
        <f t="shared" si="18"/>
        <v>86.314339439373654</v>
      </c>
      <c r="I156">
        <f t="shared" si="16"/>
        <v>8.6314339439373349</v>
      </c>
      <c r="J156">
        <f t="shared" si="19"/>
        <v>98.482981556931023</v>
      </c>
    </row>
    <row r="157" spans="1:10" x14ac:dyDescent="0.3">
      <c r="A157">
        <v>15.4</v>
      </c>
      <c r="B157">
        <f t="shared" si="5"/>
        <v>11.281765529529995</v>
      </c>
      <c r="C157">
        <f t="shared" si="15"/>
        <v>169.22648294294993</v>
      </c>
      <c r="D157">
        <f>MATCH(B157,Battery!B:B,-1)</f>
        <v>28</v>
      </c>
      <c r="E157" cm="1">
        <f t="array" ref="E157">INDEX(Battery!C:C,D157+1)+(INDEX(Battery!C:C,D157)-INDEX(Battery!C:C,D157+1))/(INDEX(Battery!B:B,D157)-INDEX(Battery!C:C,B157+1))*(B157-INDEX(Battery!C:C,B157+1))</f>
        <v>3.6062803463075888</v>
      </c>
      <c r="F157">
        <f t="shared" si="17"/>
        <v>3.551280346307589</v>
      </c>
      <c r="G157">
        <f>MATCH(F157,Load!A:A,-1)</f>
        <v>9</v>
      </c>
      <c r="H157">
        <f t="shared" si="18"/>
        <v>85.879235826551522</v>
      </c>
      <c r="I157">
        <f t="shared" si="16"/>
        <v>8.5879235826551223</v>
      </c>
      <c r="J157">
        <f t="shared" si="19"/>
        <v>98.474882851070831</v>
      </c>
    </row>
    <row r="158" spans="1:10" x14ac:dyDescent="0.3">
      <c r="A158">
        <v>15.5</v>
      </c>
      <c r="B158">
        <f t="shared" si="5"/>
        <v>10.709237290686319</v>
      </c>
      <c r="C158">
        <f t="shared" si="15"/>
        <v>160.63855936029481</v>
      </c>
      <c r="D158">
        <f>MATCH(B158,Battery!B:B,-1)</f>
        <v>28</v>
      </c>
      <c r="E158" cm="1">
        <f t="array" ref="E158">INDEX(Battery!C:C,D158+1)+(INDEX(Battery!C:C,D158)-INDEX(Battery!C:C,D158+1))/(INDEX(Battery!B:B,D158)-INDEX(Battery!C:C,B158+1))*(B158-INDEX(Battery!C:C,B158+1))</f>
        <v>3.6038816346193134</v>
      </c>
      <c r="F158">
        <f t="shared" si="17"/>
        <v>3.5488816346193137</v>
      </c>
      <c r="G158">
        <f>MATCH(F158,Load!A:A,-1)</f>
        <v>9</v>
      </c>
      <c r="H158">
        <f t="shared" si="18"/>
        <v>85.825024942396496</v>
      </c>
      <c r="I158">
        <f t="shared" si="16"/>
        <v>8.5825024942396198</v>
      </c>
      <c r="J158">
        <f t="shared" si="19"/>
        <v>98.473867746607908</v>
      </c>
    </row>
    <row r="159" spans="1:10" x14ac:dyDescent="0.3">
      <c r="A159">
        <v>15.6</v>
      </c>
      <c r="B159">
        <f t="shared" si="5"/>
        <v>10.137070457737012</v>
      </c>
      <c r="C159">
        <f t="shared" si="15"/>
        <v>152.0560568660552</v>
      </c>
      <c r="D159">
        <f>MATCH(B159,Battery!B:B,-1)</f>
        <v>28</v>
      </c>
      <c r="E159" cm="1">
        <f t="array" ref="E159">INDEX(Battery!C:C,D159+1)+(INDEX(Battery!C:C,D159)-INDEX(Battery!C:C,D159+1))/(INDEX(Battery!B:B,D159)-INDEX(Battery!C:C,B159+1))*(B159-INDEX(Battery!C:C,B159+1))</f>
        <v>3.6014886213103106</v>
      </c>
      <c r="F159">
        <f t="shared" si="17"/>
        <v>3.5464886213103108</v>
      </c>
      <c r="G159">
        <f>MATCH(F159,Load!A:A,-1)</f>
        <v>9</v>
      </c>
      <c r="H159">
        <f t="shared" si="18"/>
        <v>85.770942841613035</v>
      </c>
      <c r="I159">
        <f t="shared" si="16"/>
        <v>8.577094284161273</v>
      </c>
      <c r="J159">
        <f t="shared" si="19"/>
        <v>98.472853706254682</v>
      </c>
    </row>
    <row r="160" spans="1:10" x14ac:dyDescent="0.3">
      <c r="A160">
        <v>15.7</v>
      </c>
      <c r="B160">
        <f t="shared" si="5"/>
        <v>9.5652641721262626</v>
      </c>
      <c r="C160">
        <f t="shared" si="15"/>
        <v>143.47896258189394</v>
      </c>
      <c r="D160">
        <f>MATCH(B160,Battery!B:B,-1)</f>
        <v>28</v>
      </c>
      <c r="E160" cm="1">
        <f t="array" ref="E160">INDEX(Battery!C:C,D160+1)+(INDEX(Battery!C:C,D160)-INDEX(Battery!C:C,D160+1))/(INDEX(Battery!B:B,D160)-INDEX(Battery!C:C,B160+1))*(B160-INDEX(Battery!C:C,B160+1))</f>
        <v>3.599063290759593</v>
      </c>
      <c r="F160">
        <f t="shared" si="17"/>
        <v>3.5440632907595933</v>
      </c>
      <c r="G160">
        <f>MATCH(F160,Load!A:A,-1)</f>
        <v>9</v>
      </c>
      <c r="H160">
        <f t="shared" si="18"/>
        <v>85.716130371166813</v>
      </c>
      <c r="I160">
        <f t="shared" si="16"/>
        <v>8.5716130371168031</v>
      </c>
      <c r="J160">
        <f t="shared" si="19"/>
        <v>98.471824595549364</v>
      </c>
    </row>
    <row r="161" spans="1:10" x14ac:dyDescent="0.3">
      <c r="A161">
        <v>15.8</v>
      </c>
      <c r="B161">
        <f t="shared" si="5"/>
        <v>8.9938233029851418</v>
      </c>
      <c r="C161">
        <f t="shared" si="15"/>
        <v>134.90734954477713</v>
      </c>
      <c r="D161">
        <f>MATCH(B161,Battery!B:B,-1)</f>
        <v>29</v>
      </c>
      <c r="E161" cm="1">
        <f t="array" ref="E161">INDEX(Battery!C:C,D161+1)+(INDEX(Battery!C:C,D161)-INDEX(Battery!C:C,D161+1))/(INDEX(Battery!B:B,D161)-INDEX(Battery!C:C,B161+1))*(B161-INDEX(Battery!C:C,B161+1))</f>
        <v>3.5751076626948426</v>
      </c>
      <c r="F161">
        <f t="shared" si="17"/>
        <v>3.5201076626948429</v>
      </c>
      <c r="G161">
        <f>MATCH(F161,Load!A:A,-1)</f>
        <v>9</v>
      </c>
      <c r="H161">
        <f t="shared" si="18"/>
        <v>85.174733176903459</v>
      </c>
      <c r="I161">
        <f t="shared" si="16"/>
        <v>8.5174733176903157</v>
      </c>
      <c r="J161">
        <f t="shared" si="19"/>
        <v>98.461584791588024</v>
      </c>
    </row>
    <row r="162" spans="1:10" x14ac:dyDescent="0.3">
      <c r="A162">
        <v>15.9</v>
      </c>
      <c r="B162">
        <f t="shared" si="5"/>
        <v>8.4259917484724536</v>
      </c>
      <c r="C162">
        <f t="shared" si="15"/>
        <v>126.38987622708682</v>
      </c>
      <c r="D162">
        <f>MATCH(B162,Battery!B:B,-1)</f>
        <v>29</v>
      </c>
      <c r="E162" cm="1">
        <f t="array" ref="E162">INDEX(Battery!C:C,D162+1)+(INDEX(Battery!C:C,D162)-INDEX(Battery!C:C,D162+1))/(INDEX(Battery!B:B,D162)-INDEX(Battery!C:C,B162+1))*(B162-INDEX(Battery!C:C,B162+1))</f>
        <v>3.5706724331373376</v>
      </c>
      <c r="F162">
        <f t="shared" si="17"/>
        <v>3.5156724331373379</v>
      </c>
      <c r="G162">
        <f>MATCH(F162,Load!A:A,-1)</f>
        <v>9</v>
      </c>
      <c r="H162">
        <f t="shared" si="18"/>
        <v>85.074496988903846</v>
      </c>
      <c r="I162">
        <f t="shared" si="16"/>
        <v>8.5074496988903547</v>
      </c>
      <c r="J162">
        <f t="shared" si="19"/>
        <v>98.459673884123973</v>
      </c>
    </row>
    <row r="163" spans="1:10" x14ac:dyDescent="0.3">
      <c r="A163">
        <v>16</v>
      </c>
      <c r="B163">
        <f t="shared" si="5"/>
        <v>7.8588284352130975</v>
      </c>
      <c r="C163">
        <f t="shared" si="15"/>
        <v>117.88242652819646</v>
      </c>
      <c r="D163">
        <f>MATCH(B163,Battery!B:B,-1)</f>
        <v>29</v>
      </c>
      <c r="E163" cm="1">
        <f t="array" ref="E163">INDEX(Battery!C:C,D163+1)+(INDEX(Battery!C:C,D163)-INDEX(Battery!C:C,D163+1))/(INDEX(Battery!B:B,D163)-INDEX(Battery!C:C,B163+1))*(B163-INDEX(Battery!C:C,B163+1))</f>
        <v>3.5662062065809557</v>
      </c>
      <c r="F163">
        <f t="shared" si="17"/>
        <v>3.5112062065809559</v>
      </c>
      <c r="G163">
        <f>MATCH(F163,Load!A:A,-1)</f>
        <v>9</v>
      </c>
      <c r="H163">
        <f t="shared" si="18"/>
        <v>84.973560268729614</v>
      </c>
      <c r="I163">
        <f t="shared" si="16"/>
        <v>8.4973560268730814</v>
      </c>
      <c r="J163">
        <f t="shared" si="19"/>
        <v>98.457744818611317</v>
      </c>
    </row>
    <row r="164" spans="1:10" x14ac:dyDescent="0.3">
      <c r="A164">
        <v>16.100000000000001</v>
      </c>
      <c r="B164">
        <f t="shared" si="5"/>
        <v>7.2923380334215597</v>
      </c>
      <c r="C164">
        <f t="shared" si="15"/>
        <v>109.38507050132338</v>
      </c>
      <c r="D164">
        <f>MATCH(B164,Battery!B:B,-1)</f>
        <v>29</v>
      </c>
      <c r="E164" cm="1">
        <f t="array" ref="E164">INDEX(Battery!C:C,D164+1)+(INDEX(Battery!C:C,D164)-INDEX(Battery!C:C,D164+1))/(INDEX(Battery!B:B,D164)-INDEX(Battery!C:C,B164+1))*(B164-INDEX(Battery!C:C,B164+1))</f>
        <v>3.5617648007728993</v>
      </c>
      <c r="F164">
        <f t="shared" si="17"/>
        <v>3.5067648007728995</v>
      </c>
      <c r="G164">
        <f>MATCH(F164,Load!A:A,-1)</f>
        <v>10</v>
      </c>
      <c r="H164">
        <f t="shared" si="18"/>
        <v>84.873184497467534</v>
      </c>
      <c r="I164">
        <f t="shared" si="16"/>
        <v>8.4873184497465726</v>
      </c>
      <c r="J164">
        <f t="shared" si="19"/>
        <v>98.455821676151515</v>
      </c>
    </row>
    <row r="165" spans="1:10" x14ac:dyDescent="0.3">
      <c r="A165">
        <v>16.2</v>
      </c>
      <c r="B165">
        <f t="shared" si="5"/>
        <v>6.7265168034384555</v>
      </c>
      <c r="C165">
        <f t="shared" si="15"/>
        <v>100.89775205157682</v>
      </c>
      <c r="D165">
        <f>MATCH(B165,Battery!B:B,-1)</f>
        <v>30</v>
      </c>
      <c r="E165" cm="1">
        <f t="array" ref="E165">INDEX(Battery!C:C,D165+1)+(INDEX(Battery!C:C,D165)-INDEX(Battery!C:C,D165+1))/(INDEX(Battery!B:B,D165)-INDEX(Battery!C:C,B165+1))*(B165-INDEX(Battery!C:C,B165+1))</f>
        <v>3.5336946890194074</v>
      </c>
      <c r="F165">
        <f t="shared" si="17"/>
        <v>3.4786946890194077</v>
      </c>
      <c r="G165">
        <f>MATCH(F165,Load!A:A,-1)</f>
        <v>10</v>
      </c>
      <c r="H165">
        <f t="shared" si="18"/>
        <v>84.238799971838617</v>
      </c>
      <c r="I165">
        <f t="shared" si="16"/>
        <v>8.4238799971839811</v>
      </c>
      <c r="J165">
        <f t="shared" si="19"/>
        <v>98.443555404746576</v>
      </c>
    </row>
    <row r="166" spans="1:10" x14ac:dyDescent="0.3">
      <c r="A166">
        <v>16.3</v>
      </c>
      <c r="B166">
        <f t="shared" si="5"/>
        <v>6.1649248036261897</v>
      </c>
      <c r="C166">
        <f t="shared" si="15"/>
        <v>92.473872054392842</v>
      </c>
      <c r="D166">
        <f>MATCH(B166,Battery!B:B,-1)</f>
        <v>30</v>
      </c>
      <c r="E166" cm="1">
        <f t="array" ref="E166">INDEX(Battery!C:C,D166+1)+(INDEX(Battery!C:C,D166)-INDEX(Battery!C:C,D166+1))/(INDEX(Battery!B:B,D166)-INDEX(Battery!C:C,B166+1))*(B166-INDEX(Battery!C:C,B166+1))</f>
        <v>3.5269520376074603</v>
      </c>
      <c r="F166">
        <f t="shared" si="17"/>
        <v>3.4719520376074606</v>
      </c>
      <c r="G166">
        <f>MATCH(F166,Load!A:A,-1)</f>
        <v>10</v>
      </c>
      <c r="H166">
        <f t="shared" si="18"/>
        <v>84.086416049928616</v>
      </c>
      <c r="I166">
        <f t="shared" si="16"/>
        <v>8.4086416049926829</v>
      </c>
      <c r="J166">
        <f t="shared" si="19"/>
        <v>98.440579871414727</v>
      </c>
    </row>
    <row r="167" spans="1:10" x14ac:dyDescent="0.3">
      <c r="A167">
        <v>16.399999999999999</v>
      </c>
      <c r="B167">
        <f t="shared" si="5"/>
        <v>5.6043486966266771</v>
      </c>
      <c r="C167">
        <f t="shared" si="15"/>
        <v>84.065230449400161</v>
      </c>
      <c r="D167">
        <f>MATCH(B167,Battery!B:B,-1)</f>
        <v>31</v>
      </c>
      <c r="E167" cm="1">
        <f t="array" ref="E167">INDEX(Battery!C:C,D167+1)+(INDEX(Battery!C:C,D167)-INDEX(Battery!C:C,D167+1))/(INDEX(Battery!B:B,D167)-INDEX(Battery!C:C,B167+1))*(B167-INDEX(Battery!C:C,B167+1))</f>
        <v>3.4964256309887412</v>
      </c>
      <c r="F167">
        <f t="shared" si="17"/>
        <v>3.4414256309887414</v>
      </c>
      <c r="G167">
        <f>MATCH(F167,Load!A:A,-1)</f>
        <v>11</v>
      </c>
      <c r="H167">
        <f t="shared" si="18"/>
        <v>83.396519260345556</v>
      </c>
      <c r="I167">
        <f t="shared" si="16"/>
        <v>8.3396519260346746</v>
      </c>
      <c r="J167">
        <f t="shared" si="19"/>
        <v>98.426964969237858</v>
      </c>
    </row>
    <row r="168" spans="1:10" x14ac:dyDescent="0.3">
      <c r="A168">
        <v>16.5</v>
      </c>
      <c r="B168">
        <f t="shared" si="5"/>
        <v>5.0483719015576991</v>
      </c>
      <c r="C168">
        <f t="shared" si="15"/>
        <v>75.725578523365485</v>
      </c>
      <c r="D168">
        <f>MATCH(B168,Battery!B:B,-1)</f>
        <v>31</v>
      </c>
      <c r="E168" cm="1">
        <f t="array" ref="E168">INDEX(Battery!C:C,D168+1)+(INDEX(Battery!C:C,D168)-INDEX(Battery!C:C,D168+1))/(INDEX(Battery!B:B,D168)-INDEX(Battery!C:C,B168+1))*(B168-INDEX(Battery!C:C,B168+1))</f>
        <v>3.4810314446084849</v>
      </c>
      <c r="F168">
        <f t="shared" si="17"/>
        <v>3.4260314446084852</v>
      </c>
      <c r="G168">
        <f>MATCH(F168,Load!A:A,-1)</f>
        <v>11</v>
      </c>
      <c r="H168">
        <f t="shared" si="18"/>
        <v>83.048610648151765</v>
      </c>
      <c r="I168">
        <f t="shared" si="16"/>
        <v>8.3048610648152952</v>
      </c>
      <c r="J168">
        <f t="shared" si="19"/>
        <v>98.420008526921379</v>
      </c>
    </row>
    <row r="169" spans="1:10" x14ac:dyDescent="0.3">
      <c r="A169">
        <v>16.600000000000001</v>
      </c>
      <c r="B169">
        <f t="shared" si="5"/>
        <v>4.4947144972366795</v>
      </c>
      <c r="C169">
        <f t="shared" si="15"/>
        <v>67.420717458550186</v>
      </c>
      <c r="D169">
        <f>MATCH(B169,Battery!B:B,-1)</f>
        <v>32</v>
      </c>
      <c r="E169" cm="1">
        <f t="array" ref="E169">INDEX(Battery!C:C,D169+1)+(INDEX(Battery!C:C,D169)-INDEX(Battery!C:C,D169+1))/(INDEX(Battery!B:B,D169)-INDEX(Battery!C:C,B169+1))*(B169-INDEX(Battery!C:C,B169+1))</f>
        <v>3.4452661204337556</v>
      </c>
      <c r="F169">
        <f t="shared" si="17"/>
        <v>3.3902661204337559</v>
      </c>
      <c r="G169">
        <f>MATCH(F169,Load!A:A,-1)</f>
        <v>12</v>
      </c>
      <c r="H169">
        <f t="shared" si="18"/>
        <v>82.240314321802884</v>
      </c>
      <c r="I169">
        <f t="shared" si="16"/>
        <v>8.224031432180114</v>
      </c>
      <c r="J169">
        <f t="shared" si="19"/>
        <v>98.403606627836481</v>
      </c>
    </row>
    <row r="170" spans="1:10" x14ac:dyDescent="0.3">
      <c r="A170">
        <v>16.7</v>
      </c>
      <c r="B170">
        <f t="shared" si="5"/>
        <v>3.9464457350913382</v>
      </c>
      <c r="C170">
        <f t="shared" si="15"/>
        <v>59.196686026370074</v>
      </c>
      <c r="D170">
        <f>MATCH(B170,Battery!B:B,-1)</f>
        <v>32</v>
      </c>
      <c r="E170" cm="1">
        <f t="array" ref="E170">INDEX(Battery!C:C,D170+1)+(INDEX(Battery!C:C,D170)-INDEX(Battery!C:C,D170+1))/(INDEX(Battery!B:B,D170)-INDEX(Battery!C:C,B170+1))*(B170-INDEX(Battery!C:C,B170+1))</f>
        <v>3.3780744356500221</v>
      </c>
      <c r="F170">
        <f t="shared" si="17"/>
        <v>3.3230744356500224</v>
      </c>
      <c r="G170">
        <f>MATCH(F170,Load!A:A,-1)</f>
        <v>12</v>
      </c>
      <c r="H170">
        <f t="shared" si="18"/>
        <v>80.721782245690505</v>
      </c>
      <c r="I170">
        <f t="shared" si="16"/>
        <v>8.072178224569166</v>
      </c>
      <c r="J170">
        <f t="shared" si="19"/>
        <v>98.371853520468193</v>
      </c>
    </row>
    <row r="171" spans="1:10" x14ac:dyDescent="0.3">
      <c r="A171">
        <v>16.8</v>
      </c>
      <c r="B171">
        <f t="shared" si="5"/>
        <v>3.4083005201200605</v>
      </c>
      <c r="C171">
        <f t="shared" si="15"/>
        <v>51.12450780180091</v>
      </c>
      <c r="D171">
        <f>MATCH(B171,Battery!B:B,-1)</f>
        <v>33</v>
      </c>
      <c r="E171" cm="1">
        <f t="array" ref="E171">INDEX(Battery!C:C,D171+1)+(INDEX(Battery!C:C,D171)-INDEX(Battery!C:C,D171+1))/(INDEX(Battery!B:B,D171)-INDEX(Battery!C:C,B171+1))*(B171-INDEX(Battery!C:C,B171+1))</f>
        <v>3.4277462149333848</v>
      </c>
      <c r="F171">
        <f t="shared" si="17"/>
        <v>3.3727462149333851</v>
      </c>
      <c r="G171">
        <f>MATCH(F171,Load!A:A,-1)</f>
        <v>12</v>
      </c>
      <c r="H171">
        <f t="shared" si="18"/>
        <v>81.844364457494507</v>
      </c>
      <c r="I171">
        <f t="shared" si="16"/>
        <v>8.1844364457492755</v>
      </c>
      <c r="J171">
        <f t="shared" si="19"/>
        <v>98.395447137819431</v>
      </c>
    </row>
    <row r="172" spans="1:10" x14ac:dyDescent="0.3">
      <c r="A172">
        <v>16.899999999999999</v>
      </c>
      <c r="B172">
        <f t="shared" si="5"/>
        <v>2.8626714237367756</v>
      </c>
      <c r="C172">
        <f t="shared" si="15"/>
        <v>42.940071356051632</v>
      </c>
      <c r="D172">
        <f>MATCH(B172,Battery!B:B,-1)</f>
        <v>33</v>
      </c>
      <c r="E172" cm="1">
        <f t="array" ref="E172">INDEX(Battery!C:C,D172+1)+(INDEX(Battery!C:C,D172)-INDEX(Battery!C:C,D172+1))/(INDEX(Battery!B:B,D172)-INDEX(Battery!C:C,B172+1))*(B172-INDEX(Battery!C:C,B172+1))</f>
        <v>3.4803087019314796</v>
      </c>
      <c r="F172">
        <f t="shared" si="17"/>
        <v>3.4253087019314798</v>
      </c>
      <c r="G172">
        <f>MATCH(F172,Load!A:A,-1)</f>
        <v>11</v>
      </c>
      <c r="H172">
        <f t="shared" si="18"/>
        <v>83.032276663651444</v>
      </c>
      <c r="I172">
        <f t="shared" si="16"/>
        <v>8.3032276663652631</v>
      </c>
      <c r="J172">
        <f t="shared" si="19"/>
        <v>98.419680416008035</v>
      </c>
    </row>
    <row r="173" spans="1:10" x14ac:dyDescent="0.3">
      <c r="A173">
        <v>17</v>
      </c>
      <c r="B173">
        <f t="shared" si="5"/>
        <v>2.309122912645758</v>
      </c>
      <c r="C173">
        <f t="shared" si="15"/>
        <v>34.636843689686373</v>
      </c>
      <c r="D173">
        <f>MATCH(B173,Battery!B:B,-1)</f>
        <v>34</v>
      </c>
      <c r="E173" cm="1">
        <f t="array" ref="E173">INDEX(Battery!C:C,D173+1)+(INDEX(Battery!C:C,D173)-INDEX(Battery!C:C,D173+1))/(INDEX(Battery!B:B,D173)-INDEX(Battery!C:C,B173+1))*(B173-INDEX(Battery!C:C,B173+1))</f>
        <v>3.3650003619242885</v>
      </c>
      <c r="F173">
        <f t="shared" si="17"/>
        <v>3.3100003619242888</v>
      </c>
      <c r="G173">
        <f>MATCH(F173,Load!A:A,-1)</f>
        <v>12</v>
      </c>
      <c r="H173">
        <f t="shared" si="18"/>
        <v>80.426308179488927</v>
      </c>
      <c r="I173">
        <f t="shared" si="16"/>
        <v>8.0426308179490071</v>
      </c>
      <c r="J173">
        <f t="shared" si="19"/>
        <v>98.36552766465239</v>
      </c>
    </row>
    <row r="174" spans="1:10" x14ac:dyDescent="0.3">
      <c r="A174">
        <v>17.100000000000001</v>
      </c>
      <c r="B174">
        <f t="shared" si="5"/>
        <v>1.7729475247824911</v>
      </c>
      <c r="C174">
        <f t="shared" si="15"/>
        <v>26.594212871737366</v>
      </c>
      <c r="D174">
        <f>MATCH(B174,Battery!B:B,-1)</f>
        <v>35</v>
      </c>
      <c r="E174" cm="1">
        <f t="array" ref="E174">INDEX(Battery!C:C,D174+1)+(INDEX(Battery!C:C,D174)-INDEX(Battery!C:C,D174+1))/(INDEX(Battery!B:B,D174)-INDEX(Battery!C:C,B174+1))*(B174-INDEX(Battery!C:C,B174+1))</f>
        <v>3.3110368364953193</v>
      </c>
      <c r="F174">
        <f t="shared" si="17"/>
        <v>3.2560368364953196</v>
      </c>
      <c r="G174">
        <f>MATCH(F174,Load!A:A,-1)</f>
        <v>13</v>
      </c>
      <c r="H174">
        <f t="shared" si="18"/>
        <v>79.206732504794232</v>
      </c>
      <c r="I174">
        <f t="shared" si="16"/>
        <v>7.9206732504792541</v>
      </c>
      <c r="J174">
        <f t="shared" si="19"/>
        <v>98.338888912567455</v>
      </c>
    </row>
    <row r="175" spans="1:10" x14ac:dyDescent="0.3">
      <c r="A175">
        <v>17.2</v>
      </c>
      <c r="B175">
        <f t="shared" si="5"/>
        <v>1.2449026414172073</v>
      </c>
      <c r="C175">
        <f t="shared" si="15"/>
        <v>18.673539621258112</v>
      </c>
      <c r="D175">
        <f>MATCH(B175,Battery!B:B,-1)</f>
        <v>36</v>
      </c>
      <c r="E175" cm="1">
        <f t="array" ref="E175">INDEX(Battery!C:C,D175+1)+(INDEX(Battery!C:C,D175)-INDEX(Battery!C:C,D175+1))/(INDEX(Battery!B:B,D175)-INDEX(Battery!C:C,B175+1))*(B175-INDEX(Battery!C:C,B175+1))</f>
        <v>3.2463967002534777</v>
      </c>
      <c r="F175">
        <f t="shared" si="17"/>
        <v>3.191396700253478</v>
      </c>
      <c r="G175">
        <f>MATCH(F175,Load!A:A,-1)</f>
        <v>14</v>
      </c>
      <c r="H175">
        <f t="shared" si="18"/>
        <v>77.74586542572861</v>
      </c>
      <c r="I175">
        <f t="shared" si="16"/>
        <v>7.7745865425729717</v>
      </c>
      <c r="J175">
        <f t="shared" si="19"/>
        <v>98.305813950719411</v>
      </c>
    </row>
    <row r="176" spans="1:10" x14ac:dyDescent="0.3">
      <c r="A176">
        <v>17.3</v>
      </c>
      <c r="B176">
        <f t="shared" si="5"/>
        <v>0.72659687191234257</v>
      </c>
      <c r="C176">
        <f t="shared" si="15"/>
        <v>10.898953078685139</v>
      </c>
      <c r="D176">
        <f>MATCH(B176,Battery!B:B,-1)</f>
        <v>37</v>
      </c>
      <c r="E176" t="e" cm="1">
        <f t="array" ref="E176">INDEX(Battery!C:C,D176+1)+(INDEX(Battery!C:C,D176)-INDEX(Battery!C:C,D176+1))/(INDEX(Battery!B:B,D176)-INDEX(Battery!C:C,B176+1))*(B176-INDEX(Battery!C:C,B176+1))</f>
        <v>#VALUE!</v>
      </c>
      <c r="F176" t="e">
        <f t="shared" si="17"/>
        <v>#VALUE!</v>
      </c>
      <c r="G176" t="e">
        <f>MATCH(F176,Load!A:A,-1)</f>
        <v>#VALUE!</v>
      </c>
      <c r="H176" t="e">
        <f t="shared" si="18"/>
        <v>#VALUE!</v>
      </c>
      <c r="I176" t="e">
        <f t="shared" si="16"/>
        <v>#VALUE!</v>
      </c>
      <c r="J176" t="e">
        <f t="shared" si="19"/>
        <v>#VALUE!</v>
      </c>
    </row>
    <row r="177" spans="1:10" x14ac:dyDescent="0.3">
      <c r="A177">
        <v>17.399999999999999</v>
      </c>
      <c r="B177" t="e">
        <f t="shared" si="5"/>
        <v>#VALUE!</v>
      </c>
      <c r="C177" t="e">
        <f t="shared" si="15"/>
        <v>#VALUE!</v>
      </c>
      <c r="D177" t="e">
        <f>MATCH(B177,Battery!B:B,-1)</f>
        <v>#VALUE!</v>
      </c>
      <c r="E177" t="e" cm="1">
        <f t="array" ref="E177">INDEX(Battery!C:C,D177+1)+(INDEX(Battery!C:C,D177)-INDEX(Battery!C:C,D177+1))/(INDEX(Battery!B:B,D177)-INDEX(Battery!C:C,B177+1))*(B177-INDEX(Battery!C:C,B177+1))</f>
        <v>#VALUE!</v>
      </c>
      <c r="F177" t="e">
        <f t="shared" si="17"/>
        <v>#VALUE!</v>
      </c>
      <c r="G177" t="e">
        <f>MATCH(F177,Load!A:A,-1)</f>
        <v>#VALUE!</v>
      </c>
      <c r="H177" t="e">
        <f t="shared" si="18"/>
        <v>#VALUE!</v>
      </c>
      <c r="I177" t="e">
        <f t="shared" si="16"/>
        <v>#VALUE!</v>
      </c>
      <c r="J177" t="e">
        <f t="shared" si="19"/>
        <v>#VALUE!</v>
      </c>
    </row>
    <row r="178" spans="1:10" x14ac:dyDescent="0.3">
      <c r="A178">
        <v>17.5</v>
      </c>
      <c r="B178" t="e">
        <f t="shared" si="5"/>
        <v>#VALUE!</v>
      </c>
      <c r="C178" t="e">
        <f t="shared" si="15"/>
        <v>#VALUE!</v>
      </c>
      <c r="D178" t="e">
        <f>MATCH(B178,Battery!B:B,-1)</f>
        <v>#VALUE!</v>
      </c>
      <c r="E178" t="e" cm="1">
        <f t="array" ref="E178">INDEX(Battery!C:C,D178+1)+(INDEX(Battery!C:C,D178)-INDEX(Battery!C:C,D178+1))/(INDEX(Battery!B:B,D178)-INDEX(Battery!C:C,B178+1))*(B178-INDEX(Battery!C:C,B178+1))</f>
        <v>#VALUE!</v>
      </c>
      <c r="F178" t="e">
        <f t="shared" si="17"/>
        <v>#VALUE!</v>
      </c>
      <c r="G178" t="e">
        <f>MATCH(F178,Load!A:A,-1)</f>
        <v>#VALUE!</v>
      </c>
      <c r="H178" t="e">
        <f t="shared" si="18"/>
        <v>#VALUE!</v>
      </c>
      <c r="I178" t="e">
        <f t="shared" si="16"/>
        <v>#VALUE!</v>
      </c>
      <c r="J178" t="e">
        <f t="shared" si="19"/>
        <v>#VALUE!</v>
      </c>
    </row>
    <row r="179" spans="1:10" x14ac:dyDescent="0.3">
      <c r="A179">
        <v>17.600000000000001</v>
      </c>
      <c r="B179" t="e">
        <f t="shared" si="5"/>
        <v>#VALUE!</v>
      </c>
      <c r="C179" t="e">
        <f t="shared" si="15"/>
        <v>#VALUE!</v>
      </c>
      <c r="D179" t="e">
        <f>MATCH(B179,Battery!B:B,-1)</f>
        <v>#VALUE!</v>
      </c>
      <c r="E179" t="e" cm="1">
        <f t="array" ref="E179">INDEX(Battery!C:C,D179+1)+(INDEX(Battery!C:C,D179)-INDEX(Battery!C:C,D179+1))/(INDEX(Battery!B:B,D179)-INDEX(Battery!C:C,B179+1))*(B179-INDEX(Battery!C:C,B179+1))</f>
        <v>#VALUE!</v>
      </c>
      <c r="F179" t="e">
        <f t="shared" si="17"/>
        <v>#VALUE!</v>
      </c>
      <c r="G179" t="e">
        <f>MATCH(F179,Load!A:A,-1)</f>
        <v>#VALUE!</v>
      </c>
      <c r="H179" t="e">
        <f t="shared" si="18"/>
        <v>#VALUE!</v>
      </c>
      <c r="I179" t="e">
        <f t="shared" si="16"/>
        <v>#VALUE!</v>
      </c>
      <c r="J179" t="e">
        <f t="shared" si="19"/>
        <v>#VALUE!</v>
      </c>
    </row>
    <row r="180" spans="1:10" x14ac:dyDescent="0.3">
      <c r="A180">
        <v>17.7</v>
      </c>
      <c r="B180" t="e">
        <f t="shared" si="5"/>
        <v>#VALUE!</v>
      </c>
      <c r="C180" t="e">
        <f t="shared" si="15"/>
        <v>#VALUE!</v>
      </c>
      <c r="D180" t="e">
        <f>MATCH(B180,Battery!B:B,-1)</f>
        <v>#VALUE!</v>
      </c>
      <c r="E180" t="e" cm="1">
        <f t="array" ref="E180">INDEX(Battery!C:C,D180+1)+(INDEX(Battery!C:C,D180)-INDEX(Battery!C:C,D180+1))/(INDEX(Battery!B:B,D180)-INDEX(Battery!C:C,B180+1))*(B180-INDEX(Battery!C:C,B180+1))</f>
        <v>#VALUE!</v>
      </c>
      <c r="F180" t="e">
        <f t="shared" si="17"/>
        <v>#VALUE!</v>
      </c>
      <c r="G180" t="e">
        <f>MATCH(F180,Load!A:A,-1)</f>
        <v>#VALUE!</v>
      </c>
      <c r="H180" t="e">
        <f t="shared" si="18"/>
        <v>#VALUE!</v>
      </c>
      <c r="I180" t="e">
        <f t="shared" si="16"/>
        <v>#VALUE!</v>
      </c>
      <c r="J180" t="e">
        <f t="shared" si="19"/>
        <v>#VALUE!</v>
      </c>
    </row>
    <row r="181" spans="1:10" x14ac:dyDescent="0.3">
      <c r="A181">
        <v>17.8</v>
      </c>
      <c r="B181" t="e">
        <f t="shared" si="5"/>
        <v>#VALUE!</v>
      </c>
      <c r="C181" t="e">
        <f t="shared" si="15"/>
        <v>#VALUE!</v>
      </c>
      <c r="D181" t="e">
        <f>MATCH(B181,Battery!B:B,-1)</f>
        <v>#VALUE!</v>
      </c>
      <c r="E181" t="e" cm="1">
        <f t="array" ref="E181">INDEX(Battery!C:C,D181+1)+(INDEX(Battery!C:C,D181)-INDEX(Battery!C:C,D181+1))/(INDEX(Battery!B:B,D181)-INDEX(Battery!C:C,B181+1))*(B181-INDEX(Battery!C:C,B181+1))</f>
        <v>#VALUE!</v>
      </c>
      <c r="F181" t="e">
        <f t="shared" si="17"/>
        <v>#VALUE!</v>
      </c>
      <c r="G181" t="e">
        <f>MATCH(F181,Load!A:A,-1)</f>
        <v>#VALUE!</v>
      </c>
      <c r="H181" t="e">
        <f t="shared" si="18"/>
        <v>#VALUE!</v>
      </c>
      <c r="I181" t="e">
        <f t="shared" si="16"/>
        <v>#VALUE!</v>
      </c>
      <c r="J181" t="e">
        <f t="shared" si="19"/>
        <v>#VALUE!</v>
      </c>
    </row>
    <row r="182" spans="1:10" x14ac:dyDescent="0.3">
      <c r="A182">
        <v>17.899999999999999</v>
      </c>
      <c r="B182" t="e">
        <f t="shared" si="5"/>
        <v>#VALUE!</v>
      </c>
      <c r="C182" t="e">
        <f t="shared" si="15"/>
        <v>#VALUE!</v>
      </c>
      <c r="D182" t="e">
        <f>MATCH(B182,Battery!B:B,-1)</f>
        <v>#VALUE!</v>
      </c>
      <c r="E182" t="e" cm="1">
        <f t="array" ref="E182">INDEX(Battery!C:C,D182+1)+(INDEX(Battery!C:C,D182)-INDEX(Battery!C:C,D182+1))/(INDEX(Battery!B:B,D182)-INDEX(Battery!C:C,B182+1))*(B182-INDEX(Battery!C:C,B182+1))</f>
        <v>#VALUE!</v>
      </c>
      <c r="F182" t="e">
        <f t="shared" si="17"/>
        <v>#VALUE!</v>
      </c>
      <c r="G182" t="e">
        <f>MATCH(F182,Load!A:A,-1)</f>
        <v>#VALUE!</v>
      </c>
      <c r="H182" t="e">
        <f t="shared" si="18"/>
        <v>#VALUE!</v>
      </c>
      <c r="I182" t="e">
        <f t="shared" si="16"/>
        <v>#VALUE!</v>
      </c>
      <c r="J182" t="e">
        <f t="shared" si="19"/>
        <v>#VALUE!</v>
      </c>
    </row>
    <row r="183" spans="1:10" x14ac:dyDescent="0.3">
      <c r="A183">
        <v>18</v>
      </c>
      <c r="B183" t="e">
        <f t="shared" si="5"/>
        <v>#VALUE!</v>
      </c>
      <c r="C183" t="e">
        <f t="shared" si="15"/>
        <v>#VALUE!</v>
      </c>
      <c r="D183" t="e">
        <f>MATCH(B183,Battery!B:B,-1)</f>
        <v>#VALUE!</v>
      </c>
      <c r="E183" t="e" cm="1">
        <f t="array" ref="E183">INDEX(Battery!C:C,D183+1)+(INDEX(Battery!C:C,D183)-INDEX(Battery!C:C,D183+1))/(INDEX(Battery!B:B,D183)-INDEX(Battery!C:C,B183+1))*(B183-INDEX(Battery!C:C,B183+1))</f>
        <v>#VALUE!</v>
      </c>
      <c r="F183" t="e">
        <f t="shared" si="17"/>
        <v>#VALUE!</v>
      </c>
      <c r="G183" t="e">
        <f>MATCH(F183,Load!A:A,-1)</f>
        <v>#VALUE!</v>
      </c>
      <c r="H183" t="e">
        <f t="shared" si="18"/>
        <v>#VALUE!</v>
      </c>
      <c r="I183" t="e">
        <f t="shared" si="16"/>
        <v>#VALUE!</v>
      </c>
      <c r="J183" t="e">
        <f t="shared" si="19"/>
        <v>#VALUE!</v>
      </c>
    </row>
  </sheetData>
  <conditionalFormatting sqref="F1:F1048576">
    <cfRule type="cellIs" dxfId="1" priority="1" operator="lessThan">
      <formula>3.5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C957-5BC6-483C-AD50-A548587A4F97}">
  <dimension ref="A1:C18"/>
  <sheetViews>
    <sheetView workbookViewId="0">
      <selection activeCell="F27" sqref="F27"/>
    </sheetView>
  </sheetViews>
  <sheetFormatPr defaultRowHeight="14.4" x14ac:dyDescent="0.3"/>
  <cols>
    <col min="1" max="1" width="14.5546875" customWidth="1"/>
  </cols>
  <sheetData>
    <row r="1" spans="1:3" x14ac:dyDescent="0.3">
      <c r="A1" t="s">
        <v>54</v>
      </c>
      <c r="B1" t="s">
        <v>55</v>
      </c>
      <c r="C1" t="s">
        <v>56</v>
      </c>
    </row>
    <row r="3" spans="1:3" x14ac:dyDescent="0.3">
      <c r="A3" t="s">
        <v>57</v>
      </c>
      <c r="B3">
        <v>1.3</v>
      </c>
      <c r="C3" t="s">
        <v>23</v>
      </c>
    </row>
    <row r="4" spans="1:3" x14ac:dyDescent="0.3">
      <c r="A4" t="s">
        <v>58</v>
      </c>
      <c r="B4">
        <v>10</v>
      </c>
      <c r="C4" t="s">
        <v>23</v>
      </c>
    </row>
    <row r="6" spans="1:3" x14ac:dyDescent="0.3">
      <c r="A6" t="s">
        <v>59</v>
      </c>
      <c r="B6">
        <v>490</v>
      </c>
      <c r="C6" t="s">
        <v>63</v>
      </c>
    </row>
    <row r="7" spans="1:3" x14ac:dyDescent="0.3">
      <c r="A7" t="s">
        <v>60</v>
      </c>
      <c r="B7">
        <v>590</v>
      </c>
      <c r="C7" t="s">
        <v>63</v>
      </c>
    </row>
    <row r="8" spans="1:3" x14ac:dyDescent="0.3">
      <c r="A8" t="s">
        <v>65</v>
      </c>
      <c r="B8">
        <f>B6/B3</f>
        <v>376.92307692307691</v>
      </c>
    </row>
    <row r="9" spans="1:3" x14ac:dyDescent="0.3">
      <c r="A9" t="s">
        <v>64</v>
      </c>
      <c r="B9">
        <f>B7/B3</f>
        <v>453.84615384615381</v>
      </c>
    </row>
    <row r="10" spans="1:3" x14ac:dyDescent="0.3">
      <c r="A10" t="s">
        <v>66</v>
      </c>
      <c r="B10">
        <f>AVERAGE(B8:B9)</f>
        <v>415.38461538461536</v>
      </c>
    </row>
    <row r="14" spans="1:3" x14ac:dyDescent="0.3">
      <c r="A14" t="s">
        <v>61</v>
      </c>
      <c r="B14">
        <v>470</v>
      </c>
      <c r="C14" t="s">
        <v>63</v>
      </c>
    </row>
    <row r="15" spans="1:3" x14ac:dyDescent="0.3">
      <c r="A15" t="s">
        <v>62</v>
      </c>
      <c r="B15">
        <v>605</v>
      </c>
      <c r="C15" t="s">
        <v>63</v>
      </c>
    </row>
    <row r="16" spans="1:3" x14ac:dyDescent="0.3">
      <c r="A16" t="s">
        <v>65</v>
      </c>
      <c r="B16">
        <f>B14/(B3+B4)</f>
        <v>41.592920353982301</v>
      </c>
      <c r="C16" t="s">
        <v>17</v>
      </c>
    </row>
    <row r="17" spans="1:3" x14ac:dyDescent="0.3">
      <c r="A17" t="s">
        <v>64</v>
      </c>
      <c r="B17">
        <f>B15/(B3+B4)</f>
        <v>53.539823008849552</v>
      </c>
      <c r="C17" t="s">
        <v>17</v>
      </c>
    </row>
    <row r="18" spans="1:3" x14ac:dyDescent="0.3">
      <c r="A18" t="s">
        <v>66</v>
      </c>
      <c r="B18">
        <f>AVERAGE(B16:B17)</f>
        <v>47.56637168141593</v>
      </c>
      <c r="C18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919E-5FFD-4536-A491-942DF3A82D95}">
  <dimension ref="A1:N46"/>
  <sheetViews>
    <sheetView tabSelected="1" workbookViewId="0">
      <selection activeCell="D29" sqref="D29"/>
    </sheetView>
  </sheetViews>
  <sheetFormatPr defaultRowHeight="14.4" x14ac:dyDescent="0.3"/>
  <cols>
    <col min="1" max="1" width="18.33203125" customWidth="1"/>
    <col min="4" max="4" width="43.44140625" customWidth="1"/>
    <col min="6" max="6" width="6.77734375" bestFit="1" customWidth="1"/>
    <col min="7" max="7" width="8.21875" bestFit="1" customWidth="1"/>
    <col min="8" max="8" width="13" bestFit="1" customWidth="1"/>
    <col min="9" max="10" width="10.6640625" bestFit="1" customWidth="1"/>
  </cols>
  <sheetData>
    <row r="1" spans="1:14" x14ac:dyDescent="0.3">
      <c r="A1" s="1" t="s">
        <v>45</v>
      </c>
      <c r="B1" s="1"/>
      <c r="C1" s="1"/>
      <c r="D1" s="1" t="s">
        <v>88</v>
      </c>
      <c r="F1" s="1"/>
      <c r="G1" s="1" t="s">
        <v>97</v>
      </c>
      <c r="H1" s="1"/>
      <c r="I1" s="1"/>
      <c r="J1" s="1"/>
      <c r="K1" s="1" t="s">
        <v>98</v>
      </c>
    </row>
    <row r="2" spans="1:14" x14ac:dyDescent="0.3">
      <c r="A2" t="s">
        <v>73</v>
      </c>
      <c r="B2">
        <v>3</v>
      </c>
      <c r="C2" t="s">
        <v>69</v>
      </c>
      <c r="D2" t="s">
        <v>89</v>
      </c>
      <c r="F2" s="1" t="s">
        <v>93</v>
      </c>
      <c r="G2" s="1" t="s">
        <v>0</v>
      </c>
      <c r="H2" s="1" t="s">
        <v>94</v>
      </c>
      <c r="I2" s="1" t="s">
        <v>96</v>
      </c>
      <c r="J2" s="1" t="s">
        <v>99</v>
      </c>
      <c r="K2" s="1" t="s">
        <v>0</v>
      </c>
      <c r="L2" s="1" t="s">
        <v>94</v>
      </c>
      <c r="M2" s="1" t="s">
        <v>96</v>
      </c>
      <c r="N2" s="1" t="s">
        <v>99</v>
      </c>
    </row>
    <row r="3" spans="1:14" x14ac:dyDescent="0.3">
      <c r="A3" t="s">
        <v>74</v>
      </c>
      <c r="B3">
        <v>0</v>
      </c>
      <c r="C3" t="s">
        <v>69</v>
      </c>
      <c r="D3" t="s">
        <v>75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</row>
    <row r="4" spans="1:14" x14ac:dyDescent="0.3">
      <c r="A4" t="s">
        <v>76</v>
      </c>
      <c r="B4">
        <v>6</v>
      </c>
      <c r="C4" t="s">
        <v>69</v>
      </c>
      <c r="D4" t="s">
        <v>86</v>
      </c>
      <c r="F4">
        <v>0</v>
      </c>
      <c r="G4">
        <f>$B$18</f>
        <v>2000</v>
      </c>
      <c r="H4">
        <f>G4*$B$26</f>
        <v>100</v>
      </c>
      <c r="I4">
        <f>$B$15/1000*$B$27</f>
        <v>36.524999999999999</v>
      </c>
      <c r="J4">
        <f>H4+I4</f>
        <v>136.52500000000001</v>
      </c>
      <c r="K4">
        <f>$B$18</f>
        <v>2000</v>
      </c>
      <c r="L4">
        <f>K4*$B$26</f>
        <v>100</v>
      </c>
      <c r="M4">
        <f>$B$16/1000*$B$27</f>
        <v>14.24475</v>
      </c>
      <c r="N4">
        <f>L4+M4</f>
        <v>114.24475</v>
      </c>
    </row>
    <row r="5" spans="1:14" x14ac:dyDescent="0.3">
      <c r="A5" t="s">
        <v>77</v>
      </c>
      <c r="B5">
        <v>25</v>
      </c>
      <c r="C5" t="s">
        <v>69</v>
      </c>
      <c r="D5" t="s">
        <v>47</v>
      </c>
      <c r="F5">
        <v>1</v>
      </c>
      <c r="G5">
        <f>G4-J4</f>
        <v>1863.4749999999999</v>
      </c>
      <c r="H5">
        <f>G5*$B$26</f>
        <v>93.173749999999998</v>
      </c>
      <c r="I5">
        <f>$B$15/1000*$B$27</f>
        <v>36.524999999999999</v>
      </c>
      <c r="J5">
        <f>H5+I5</f>
        <v>129.69874999999999</v>
      </c>
      <c r="K5">
        <f>K4-N4</f>
        <v>1885.7552499999999</v>
      </c>
      <c r="L5">
        <f>K5*$B$26</f>
        <v>94.287762499999999</v>
      </c>
      <c r="M5">
        <f>$B$16/1000*$B$27</f>
        <v>14.24475</v>
      </c>
      <c r="N5">
        <f>L5+M5</f>
        <v>108.5325125</v>
      </c>
    </row>
    <row r="6" spans="1:14" x14ac:dyDescent="0.3">
      <c r="A6" t="s">
        <v>78</v>
      </c>
      <c r="B6">
        <v>5.5</v>
      </c>
      <c r="C6" t="s">
        <v>69</v>
      </c>
      <c r="D6" t="s">
        <v>48</v>
      </c>
      <c r="F6">
        <v>2</v>
      </c>
      <c r="G6">
        <f t="shared" ref="G6:G15" si="0">G5-J5</f>
        <v>1733.7762499999999</v>
      </c>
      <c r="H6">
        <f t="shared" ref="H6:H31" si="1">G6*$B$26</f>
        <v>86.688812499999997</v>
      </c>
      <c r="I6">
        <f t="shared" ref="I6:I31" si="2">$B$15/1000*$B$27</f>
        <v>36.524999999999999</v>
      </c>
      <c r="J6">
        <f t="shared" ref="J6:J15" si="3">H6+I6</f>
        <v>123.21381249999999</v>
      </c>
      <c r="K6">
        <f t="shared" ref="K6:K46" si="4">K5-N5</f>
        <v>1777.2227375</v>
      </c>
      <c r="L6">
        <f t="shared" ref="L6:L46" si="5">K6*$B$26</f>
        <v>88.861136875</v>
      </c>
      <c r="M6">
        <f t="shared" ref="M6:M46" si="6">$B$16/1000*$B$27</f>
        <v>14.24475</v>
      </c>
      <c r="N6">
        <f t="shared" ref="N6:N46" si="7">L6+M6</f>
        <v>103.105886875</v>
      </c>
    </row>
    <row r="7" spans="1:14" x14ac:dyDescent="0.3">
      <c r="A7" t="s">
        <v>49</v>
      </c>
      <c r="B7">
        <v>0.5</v>
      </c>
      <c r="C7" t="s">
        <v>69</v>
      </c>
      <c r="D7" t="s">
        <v>47</v>
      </c>
      <c r="F7">
        <v>3</v>
      </c>
      <c r="G7">
        <f t="shared" si="0"/>
        <v>1610.5624375</v>
      </c>
      <c r="H7">
        <f t="shared" si="1"/>
        <v>80.528121875000011</v>
      </c>
      <c r="I7">
        <f t="shared" si="2"/>
        <v>36.524999999999999</v>
      </c>
      <c r="J7">
        <f t="shared" si="3"/>
        <v>117.05312187500002</v>
      </c>
      <c r="K7">
        <f t="shared" si="4"/>
        <v>1674.1168506250001</v>
      </c>
      <c r="L7">
        <f t="shared" si="5"/>
        <v>83.705842531250013</v>
      </c>
      <c r="M7">
        <f t="shared" si="6"/>
        <v>14.24475</v>
      </c>
      <c r="N7">
        <f t="shared" si="7"/>
        <v>97.95059253125001</v>
      </c>
    </row>
    <row r="8" spans="1:14" x14ac:dyDescent="0.3">
      <c r="A8" t="s">
        <v>79</v>
      </c>
      <c r="B8">
        <v>5</v>
      </c>
      <c r="C8" t="s">
        <v>69</v>
      </c>
      <c r="D8" t="s">
        <v>47</v>
      </c>
      <c r="F8">
        <v>4</v>
      </c>
      <c r="G8">
        <f t="shared" si="0"/>
        <v>1493.509315625</v>
      </c>
      <c r="H8">
        <f t="shared" si="1"/>
        <v>74.675465781249997</v>
      </c>
      <c r="I8">
        <f t="shared" si="2"/>
        <v>36.524999999999999</v>
      </c>
      <c r="J8">
        <f t="shared" si="3"/>
        <v>111.20046578124999</v>
      </c>
      <c r="K8">
        <f t="shared" si="4"/>
        <v>1576.16625809375</v>
      </c>
      <c r="L8">
        <f t="shared" si="5"/>
        <v>78.808312904687511</v>
      </c>
      <c r="M8">
        <f t="shared" si="6"/>
        <v>14.24475</v>
      </c>
      <c r="N8">
        <f t="shared" si="7"/>
        <v>93.053062904687508</v>
      </c>
    </row>
    <row r="9" spans="1:14" x14ac:dyDescent="0.3">
      <c r="A9" t="s">
        <v>87</v>
      </c>
      <c r="B9">
        <v>5</v>
      </c>
      <c r="C9" t="s">
        <v>69</v>
      </c>
      <c r="D9" t="s">
        <v>90</v>
      </c>
      <c r="F9">
        <v>5</v>
      </c>
      <c r="G9">
        <f t="shared" si="0"/>
        <v>1382.3088498437501</v>
      </c>
      <c r="H9">
        <f t="shared" si="1"/>
        <v>69.115442492187512</v>
      </c>
      <c r="I9">
        <f t="shared" si="2"/>
        <v>36.524999999999999</v>
      </c>
      <c r="J9">
        <f t="shared" si="3"/>
        <v>105.6404424921875</v>
      </c>
      <c r="K9">
        <f t="shared" si="4"/>
        <v>1483.1131951890625</v>
      </c>
      <c r="L9">
        <f t="shared" si="5"/>
        <v>74.15565975945313</v>
      </c>
      <c r="M9">
        <f t="shared" si="6"/>
        <v>14.24475</v>
      </c>
      <c r="N9">
        <f t="shared" si="7"/>
        <v>88.400409759453126</v>
      </c>
    </row>
    <row r="10" spans="1:14" x14ac:dyDescent="0.3">
      <c r="F10">
        <v>6</v>
      </c>
      <c r="G10">
        <f t="shared" si="0"/>
        <v>1276.6684073515626</v>
      </c>
      <c r="H10">
        <f t="shared" si="1"/>
        <v>63.833420367578128</v>
      </c>
      <c r="I10">
        <f t="shared" si="2"/>
        <v>36.524999999999999</v>
      </c>
      <c r="J10">
        <f t="shared" si="3"/>
        <v>100.35842036757813</v>
      </c>
      <c r="K10">
        <f t="shared" si="4"/>
        <v>1394.7127854296093</v>
      </c>
      <c r="L10">
        <f t="shared" si="5"/>
        <v>69.735639271480466</v>
      </c>
      <c r="M10">
        <f t="shared" si="6"/>
        <v>14.24475</v>
      </c>
      <c r="N10">
        <f t="shared" si="7"/>
        <v>83.980389271480462</v>
      </c>
    </row>
    <row r="11" spans="1:14" x14ac:dyDescent="0.3">
      <c r="F11">
        <v>7</v>
      </c>
      <c r="G11">
        <f t="shared" si="0"/>
        <v>1176.3099869839843</v>
      </c>
      <c r="H11">
        <f t="shared" si="1"/>
        <v>58.815499349199222</v>
      </c>
      <c r="I11">
        <f t="shared" si="2"/>
        <v>36.524999999999999</v>
      </c>
      <c r="J11">
        <f t="shared" si="3"/>
        <v>95.34049934919922</v>
      </c>
      <c r="K11">
        <f t="shared" si="4"/>
        <v>1310.7323961581289</v>
      </c>
      <c r="L11">
        <f t="shared" si="5"/>
        <v>65.536619807906447</v>
      </c>
      <c r="M11">
        <f t="shared" si="6"/>
        <v>14.24475</v>
      </c>
      <c r="N11">
        <f t="shared" si="7"/>
        <v>79.781369807906444</v>
      </c>
    </row>
    <row r="12" spans="1:14" x14ac:dyDescent="0.3">
      <c r="F12">
        <v>8</v>
      </c>
      <c r="G12">
        <f t="shared" si="0"/>
        <v>1080.9694876347851</v>
      </c>
      <c r="H12">
        <f t="shared" si="1"/>
        <v>54.048474381739254</v>
      </c>
      <c r="I12">
        <f t="shared" si="2"/>
        <v>36.524999999999999</v>
      </c>
      <c r="J12">
        <f t="shared" si="3"/>
        <v>90.57347438173926</v>
      </c>
      <c r="K12">
        <f t="shared" si="4"/>
        <v>1230.9510263502225</v>
      </c>
      <c r="L12">
        <f t="shared" si="5"/>
        <v>61.547551317511129</v>
      </c>
      <c r="M12">
        <f t="shared" si="6"/>
        <v>14.24475</v>
      </c>
      <c r="N12">
        <f t="shared" si="7"/>
        <v>75.792301317511132</v>
      </c>
    </row>
    <row r="13" spans="1:14" x14ac:dyDescent="0.3">
      <c r="F13">
        <v>9</v>
      </c>
      <c r="G13">
        <f t="shared" si="0"/>
        <v>990.39601325304579</v>
      </c>
      <c r="H13">
        <f t="shared" si="1"/>
        <v>49.519800662652294</v>
      </c>
      <c r="I13">
        <f t="shared" si="2"/>
        <v>36.524999999999999</v>
      </c>
      <c r="J13">
        <f t="shared" si="3"/>
        <v>86.044800662652293</v>
      </c>
      <c r="K13">
        <f t="shared" si="4"/>
        <v>1155.1587250327113</v>
      </c>
      <c r="L13">
        <f t="shared" si="5"/>
        <v>57.75793625163557</v>
      </c>
      <c r="M13">
        <f t="shared" si="6"/>
        <v>14.24475</v>
      </c>
      <c r="N13">
        <f t="shared" si="7"/>
        <v>72.002686251635566</v>
      </c>
    </row>
    <row r="14" spans="1:14" x14ac:dyDescent="0.3">
      <c r="F14">
        <v>10</v>
      </c>
      <c r="G14">
        <f t="shared" si="0"/>
        <v>904.35121259039352</v>
      </c>
      <c r="H14">
        <f t="shared" si="1"/>
        <v>45.217560629519681</v>
      </c>
      <c r="I14">
        <f t="shared" si="2"/>
        <v>36.524999999999999</v>
      </c>
      <c r="J14">
        <f t="shared" si="3"/>
        <v>81.742560629519687</v>
      </c>
      <c r="K14">
        <f t="shared" si="4"/>
        <v>1083.1560387810757</v>
      </c>
      <c r="L14">
        <f t="shared" si="5"/>
        <v>54.15780193905379</v>
      </c>
      <c r="M14">
        <f t="shared" si="6"/>
        <v>14.24475</v>
      </c>
      <c r="N14">
        <f t="shared" si="7"/>
        <v>68.402551939053794</v>
      </c>
    </row>
    <row r="15" spans="1:14" x14ac:dyDescent="0.3">
      <c r="A15" t="s">
        <v>50</v>
      </c>
      <c r="B15">
        <f>SUM(B2:B14)</f>
        <v>50</v>
      </c>
      <c r="C15" t="s">
        <v>69</v>
      </c>
      <c r="F15">
        <v>11</v>
      </c>
      <c r="G15">
        <f t="shared" si="0"/>
        <v>822.60865196087389</v>
      </c>
      <c r="H15">
        <f t="shared" si="1"/>
        <v>41.130432598043697</v>
      </c>
      <c r="I15">
        <f t="shared" si="2"/>
        <v>36.524999999999999</v>
      </c>
      <c r="J15">
        <f t="shared" si="3"/>
        <v>77.655432598043689</v>
      </c>
      <c r="K15">
        <f t="shared" si="4"/>
        <v>1014.753486842022</v>
      </c>
      <c r="L15">
        <f t="shared" si="5"/>
        <v>50.737674342101101</v>
      </c>
      <c r="M15">
        <f t="shared" si="6"/>
        <v>14.24475</v>
      </c>
      <c r="N15">
        <f t="shared" si="7"/>
        <v>64.982424342101098</v>
      </c>
    </row>
    <row r="16" spans="1:14" x14ac:dyDescent="0.3">
      <c r="A16" t="s">
        <v>51</v>
      </c>
      <c r="B16">
        <f>B15-B5-B6</f>
        <v>19.5</v>
      </c>
      <c r="C16" t="s">
        <v>69</v>
      </c>
      <c r="F16">
        <v>12</v>
      </c>
      <c r="G16">
        <f t="shared" ref="G16:G29" si="8">G15-J15</f>
        <v>744.95321936283017</v>
      </c>
      <c r="H16">
        <f t="shared" si="1"/>
        <v>37.24766096814151</v>
      </c>
      <c r="I16">
        <f t="shared" si="2"/>
        <v>36.524999999999999</v>
      </c>
      <c r="J16">
        <f t="shared" ref="J16:J29" si="9">H16+I16</f>
        <v>73.772660968141508</v>
      </c>
      <c r="K16">
        <f t="shared" si="4"/>
        <v>949.77106249992084</v>
      </c>
      <c r="L16">
        <f t="shared" si="5"/>
        <v>47.488553124996045</v>
      </c>
      <c r="M16">
        <f t="shared" si="6"/>
        <v>14.24475</v>
      </c>
      <c r="N16">
        <f t="shared" si="7"/>
        <v>61.733303124996041</v>
      </c>
    </row>
    <row r="17" spans="1:14" x14ac:dyDescent="0.3">
      <c r="F17">
        <v>13</v>
      </c>
      <c r="G17">
        <f t="shared" si="8"/>
        <v>671.18055839468866</v>
      </c>
      <c r="H17">
        <f t="shared" si="1"/>
        <v>33.559027919734433</v>
      </c>
      <c r="I17">
        <f t="shared" si="2"/>
        <v>36.524999999999999</v>
      </c>
      <c r="J17">
        <f t="shared" si="9"/>
        <v>70.084027919734439</v>
      </c>
      <c r="K17">
        <f t="shared" si="4"/>
        <v>888.0377593749248</v>
      </c>
      <c r="L17">
        <f t="shared" si="5"/>
        <v>44.401887968746244</v>
      </c>
      <c r="M17">
        <f t="shared" si="6"/>
        <v>14.24475</v>
      </c>
      <c r="N17">
        <f t="shared" si="7"/>
        <v>58.646637968746248</v>
      </c>
    </row>
    <row r="18" spans="1:14" x14ac:dyDescent="0.3">
      <c r="A18" t="s">
        <v>80</v>
      </c>
      <c r="B18">
        <v>2000</v>
      </c>
      <c r="C18" t="s">
        <v>9</v>
      </c>
      <c r="F18">
        <v>14</v>
      </c>
      <c r="G18">
        <f t="shared" si="8"/>
        <v>601.09653047495419</v>
      </c>
      <c r="H18">
        <f t="shared" si="1"/>
        <v>30.05482652374771</v>
      </c>
      <c r="I18">
        <f t="shared" si="2"/>
        <v>36.524999999999999</v>
      </c>
      <c r="J18">
        <f t="shared" si="9"/>
        <v>66.579826523747712</v>
      </c>
      <c r="K18">
        <f t="shared" si="4"/>
        <v>829.39112140617851</v>
      </c>
      <c r="L18">
        <f t="shared" si="5"/>
        <v>41.469556070308926</v>
      </c>
      <c r="M18">
        <f t="shared" si="6"/>
        <v>14.24475</v>
      </c>
      <c r="N18">
        <f t="shared" si="7"/>
        <v>55.714306070308922</v>
      </c>
    </row>
    <row r="19" spans="1:14" x14ac:dyDescent="0.3">
      <c r="A19" t="s">
        <v>82</v>
      </c>
      <c r="B19">
        <f>B18/B15*1000</f>
        <v>40000</v>
      </c>
      <c r="C19" t="s">
        <v>81</v>
      </c>
      <c r="F19">
        <v>15</v>
      </c>
      <c r="G19">
        <f t="shared" si="8"/>
        <v>534.51670395120652</v>
      </c>
      <c r="H19">
        <f t="shared" si="1"/>
        <v>26.725835197560329</v>
      </c>
      <c r="I19">
        <f t="shared" si="2"/>
        <v>36.524999999999999</v>
      </c>
      <c r="J19">
        <f t="shared" si="9"/>
        <v>63.250835197560328</v>
      </c>
      <c r="K19">
        <f t="shared" si="4"/>
        <v>773.67681533586961</v>
      </c>
      <c r="L19">
        <f t="shared" si="5"/>
        <v>38.68384076679348</v>
      </c>
      <c r="M19">
        <f t="shared" si="6"/>
        <v>14.24475</v>
      </c>
      <c r="N19">
        <f t="shared" si="7"/>
        <v>52.928590766793477</v>
      </c>
    </row>
    <row r="20" spans="1:14" x14ac:dyDescent="0.3">
      <c r="B20">
        <f>B19/24</f>
        <v>1666.6666666666667</v>
      </c>
      <c r="C20" t="s">
        <v>83</v>
      </c>
      <c r="F20">
        <v>16</v>
      </c>
      <c r="G20">
        <f t="shared" si="8"/>
        <v>471.2658687536462</v>
      </c>
      <c r="H20">
        <f t="shared" si="1"/>
        <v>23.563293437682312</v>
      </c>
      <c r="I20">
        <f t="shared" si="2"/>
        <v>36.524999999999999</v>
      </c>
      <c r="J20">
        <f t="shared" si="9"/>
        <v>60.08829343768231</v>
      </c>
      <c r="K20">
        <f t="shared" si="4"/>
        <v>720.74822456907611</v>
      </c>
      <c r="L20">
        <f t="shared" si="5"/>
        <v>36.037411228453806</v>
      </c>
      <c r="M20">
        <f t="shared" si="6"/>
        <v>14.24475</v>
      </c>
      <c r="N20">
        <f t="shared" si="7"/>
        <v>50.282161228453802</v>
      </c>
    </row>
    <row r="21" spans="1:14" x14ac:dyDescent="0.3">
      <c r="B21">
        <f>B20/365.25</f>
        <v>4.5630846452201688</v>
      </c>
      <c r="C21" t="s">
        <v>84</v>
      </c>
      <c r="F21">
        <v>17</v>
      </c>
      <c r="G21">
        <f t="shared" si="8"/>
        <v>411.17757531596391</v>
      </c>
      <c r="H21">
        <f t="shared" si="1"/>
        <v>20.558878765798198</v>
      </c>
      <c r="I21">
        <f t="shared" si="2"/>
        <v>36.524999999999999</v>
      </c>
      <c r="J21">
        <f t="shared" si="9"/>
        <v>57.083878765798197</v>
      </c>
      <c r="K21">
        <f t="shared" si="4"/>
        <v>670.46606334062233</v>
      </c>
      <c r="L21">
        <f t="shared" si="5"/>
        <v>33.523303167031116</v>
      </c>
      <c r="M21">
        <f t="shared" si="6"/>
        <v>14.24475</v>
      </c>
      <c r="N21">
        <f t="shared" si="7"/>
        <v>47.768053167031113</v>
      </c>
    </row>
    <row r="22" spans="1:14" x14ac:dyDescent="0.3">
      <c r="A22" t="s">
        <v>85</v>
      </c>
      <c r="B22">
        <f>B18/B16*1000</f>
        <v>102564.10256410256</v>
      </c>
      <c r="C22" t="s">
        <v>81</v>
      </c>
      <c r="F22">
        <v>18</v>
      </c>
      <c r="G22">
        <f t="shared" si="8"/>
        <v>354.0936965501657</v>
      </c>
      <c r="H22">
        <f t="shared" si="1"/>
        <v>17.704684827508284</v>
      </c>
      <c r="I22">
        <f t="shared" si="2"/>
        <v>36.524999999999999</v>
      </c>
      <c r="J22">
        <f t="shared" si="9"/>
        <v>54.229684827508279</v>
      </c>
      <c r="K22">
        <f t="shared" si="4"/>
        <v>622.69801017359123</v>
      </c>
      <c r="L22">
        <f t="shared" si="5"/>
        <v>31.134900508679564</v>
      </c>
      <c r="M22">
        <f t="shared" si="6"/>
        <v>14.24475</v>
      </c>
      <c r="N22">
        <f t="shared" si="7"/>
        <v>45.379650508679561</v>
      </c>
    </row>
    <row r="23" spans="1:14" x14ac:dyDescent="0.3">
      <c r="B23">
        <f>B22/24</f>
        <v>4273.5042735042734</v>
      </c>
      <c r="C23" t="s">
        <v>83</v>
      </c>
      <c r="F23">
        <v>19</v>
      </c>
      <c r="G23">
        <f t="shared" si="8"/>
        <v>299.86401172265744</v>
      </c>
      <c r="H23">
        <f t="shared" si="1"/>
        <v>14.993200586132872</v>
      </c>
      <c r="I23">
        <f t="shared" si="2"/>
        <v>36.524999999999999</v>
      </c>
      <c r="J23">
        <f t="shared" si="9"/>
        <v>51.51820058613287</v>
      </c>
      <c r="K23">
        <f t="shared" si="4"/>
        <v>577.31835966491167</v>
      </c>
      <c r="L23">
        <f t="shared" si="5"/>
        <v>28.865917983245584</v>
      </c>
      <c r="M23">
        <f t="shared" si="6"/>
        <v>14.24475</v>
      </c>
      <c r="N23">
        <f t="shared" si="7"/>
        <v>43.110667983245584</v>
      </c>
    </row>
    <row r="24" spans="1:14" x14ac:dyDescent="0.3">
      <c r="B24">
        <f>B23/365.25</f>
        <v>11.700217039026073</v>
      </c>
      <c r="C24" t="s">
        <v>84</v>
      </c>
      <c r="F24">
        <v>20</v>
      </c>
      <c r="G24">
        <f t="shared" si="8"/>
        <v>248.34581113652456</v>
      </c>
      <c r="H24">
        <f t="shared" si="1"/>
        <v>12.417290556826229</v>
      </c>
      <c r="I24">
        <f t="shared" si="2"/>
        <v>36.524999999999999</v>
      </c>
      <c r="J24">
        <f t="shared" si="9"/>
        <v>48.942290556826229</v>
      </c>
      <c r="K24">
        <f t="shared" si="4"/>
        <v>534.20769168166612</v>
      </c>
      <c r="L24">
        <f t="shared" si="5"/>
        <v>26.710384584083307</v>
      </c>
      <c r="M24">
        <f t="shared" si="6"/>
        <v>14.24475</v>
      </c>
      <c r="N24">
        <f t="shared" si="7"/>
        <v>40.955134584083311</v>
      </c>
    </row>
    <row r="25" spans="1:14" x14ac:dyDescent="0.3">
      <c r="F25">
        <v>21</v>
      </c>
      <c r="G25">
        <f t="shared" si="8"/>
        <v>199.40352057969832</v>
      </c>
      <c r="H25">
        <f t="shared" si="1"/>
        <v>9.9701760289849162</v>
      </c>
      <c r="I25">
        <f t="shared" si="2"/>
        <v>36.524999999999999</v>
      </c>
      <c r="J25">
        <f t="shared" si="9"/>
        <v>46.495176028984915</v>
      </c>
      <c r="K25">
        <f t="shared" si="4"/>
        <v>493.25255709758278</v>
      </c>
      <c r="L25">
        <f t="shared" si="5"/>
        <v>24.66262785487914</v>
      </c>
      <c r="M25">
        <f t="shared" si="6"/>
        <v>14.24475</v>
      </c>
      <c r="N25">
        <f t="shared" si="7"/>
        <v>38.907377854879144</v>
      </c>
    </row>
    <row r="26" spans="1:14" x14ac:dyDescent="0.3">
      <c r="A26" t="s">
        <v>91</v>
      </c>
      <c r="B26" s="3">
        <v>0.05</v>
      </c>
      <c r="C26" t="s">
        <v>92</v>
      </c>
      <c r="F26">
        <v>22</v>
      </c>
      <c r="G26">
        <f t="shared" si="8"/>
        <v>152.90834455071342</v>
      </c>
      <c r="H26">
        <f t="shared" si="1"/>
        <v>7.6454172275356713</v>
      </c>
      <c r="I26">
        <f t="shared" si="2"/>
        <v>36.524999999999999</v>
      </c>
      <c r="J26">
        <f t="shared" si="9"/>
        <v>44.170417227535673</v>
      </c>
      <c r="K26">
        <f t="shared" si="4"/>
        <v>454.34517924270364</v>
      </c>
      <c r="L26">
        <f t="shared" si="5"/>
        <v>22.717258962135183</v>
      </c>
      <c r="M26">
        <f t="shared" si="6"/>
        <v>14.24475</v>
      </c>
      <c r="N26">
        <f t="shared" si="7"/>
        <v>36.962008962135187</v>
      </c>
    </row>
    <row r="27" spans="1:14" x14ac:dyDescent="0.3">
      <c r="A27" t="s">
        <v>95</v>
      </c>
      <c r="B27">
        <f>365.25*24/12</f>
        <v>730.5</v>
      </c>
      <c r="C27" t="s">
        <v>10</v>
      </c>
      <c r="F27">
        <v>23</v>
      </c>
      <c r="G27">
        <f t="shared" si="8"/>
        <v>108.73792732317776</v>
      </c>
      <c r="H27">
        <f t="shared" si="1"/>
        <v>5.436896366158888</v>
      </c>
      <c r="I27">
        <f t="shared" si="2"/>
        <v>36.524999999999999</v>
      </c>
      <c r="J27">
        <f t="shared" si="9"/>
        <v>41.961896366158889</v>
      </c>
      <c r="K27">
        <f t="shared" si="4"/>
        <v>417.38317028056844</v>
      </c>
      <c r="L27">
        <f t="shared" si="5"/>
        <v>20.869158514028424</v>
      </c>
      <c r="M27">
        <f t="shared" si="6"/>
        <v>14.24475</v>
      </c>
      <c r="N27">
        <f t="shared" si="7"/>
        <v>35.113908514028424</v>
      </c>
    </row>
    <row r="28" spans="1:14" x14ac:dyDescent="0.3">
      <c r="F28">
        <v>24</v>
      </c>
      <c r="G28">
        <f t="shared" si="8"/>
        <v>66.776030957018861</v>
      </c>
      <c r="H28">
        <f t="shared" si="1"/>
        <v>3.3388015478509434</v>
      </c>
      <c r="I28">
        <f t="shared" si="2"/>
        <v>36.524999999999999</v>
      </c>
      <c r="J28">
        <f t="shared" si="9"/>
        <v>39.86380154785094</v>
      </c>
      <c r="K28">
        <f t="shared" si="4"/>
        <v>382.26926176654001</v>
      </c>
      <c r="L28">
        <f t="shared" si="5"/>
        <v>19.113463088327002</v>
      </c>
      <c r="M28">
        <f t="shared" si="6"/>
        <v>14.24475</v>
      </c>
      <c r="N28">
        <f t="shared" si="7"/>
        <v>33.358213088327005</v>
      </c>
    </row>
    <row r="29" spans="1:14" x14ac:dyDescent="0.3">
      <c r="F29">
        <v>25</v>
      </c>
      <c r="G29">
        <f t="shared" si="8"/>
        <v>26.912229409167921</v>
      </c>
      <c r="H29">
        <f t="shared" si="1"/>
        <v>1.3456114704583961</v>
      </c>
      <c r="I29">
        <f t="shared" si="2"/>
        <v>36.524999999999999</v>
      </c>
      <c r="J29">
        <f t="shared" si="9"/>
        <v>37.870611470458392</v>
      </c>
      <c r="K29">
        <f t="shared" si="4"/>
        <v>348.91104867821298</v>
      </c>
      <c r="L29">
        <f t="shared" si="5"/>
        <v>17.445552433910649</v>
      </c>
      <c r="M29">
        <f t="shared" si="6"/>
        <v>14.24475</v>
      </c>
      <c r="N29">
        <f t="shared" si="7"/>
        <v>31.690302433910649</v>
      </c>
    </row>
    <row r="30" spans="1:14" x14ac:dyDescent="0.3">
      <c r="F30">
        <v>26</v>
      </c>
      <c r="G30">
        <f>G29-J29</f>
        <v>-10.958382061290472</v>
      </c>
      <c r="H30">
        <f>G30*$B$26</f>
        <v>-0.54791910306452363</v>
      </c>
      <c r="I30">
        <f>$B$15/1000*$B$27</f>
        <v>36.524999999999999</v>
      </c>
      <c r="J30">
        <f>H30+I30</f>
        <v>35.977080896935476</v>
      </c>
      <c r="K30">
        <f t="shared" si="4"/>
        <v>317.22074624430235</v>
      </c>
      <c r="L30">
        <f t="shared" si="5"/>
        <v>15.861037312215117</v>
      </c>
      <c r="M30">
        <f t="shared" si="6"/>
        <v>14.24475</v>
      </c>
      <c r="N30">
        <f t="shared" si="7"/>
        <v>30.105787312215117</v>
      </c>
    </row>
    <row r="31" spans="1:14" x14ac:dyDescent="0.3">
      <c r="F31">
        <v>27</v>
      </c>
      <c r="G31">
        <f t="shared" ref="G31" si="10">G30-J30</f>
        <v>-46.935462958225948</v>
      </c>
      <c r="H31">
        <f t="shared" si="1"/>
        <v>-2.3467731479112977</v>
      </c>
      <c r="I31">
        <f t="shared" si="2"/>
        <v>36.524999999999999</v>
      </c>
      <c r="J31">
        <f t="shared" ref="J31" si="11">H31+I31</f>
        <v>34.178226852088699</v>
      </c>
      <c r="K31">
        <f t="shared" si="4"/>
        <v>287.11495893208723</v>
      </c>
      <c r="L31">
        <f t="shared" si="5"/>
        <v>14.355747946604362</v>
      </c>
      <c r="M31">
        <f t="shared" si="6"/>
        <v>14.24475</v>
      </c>
      <c r="N31">
        <f t="shared" si="7"/>
        <v>28.600497946604364</v>
      </c>
    </row>
    <row r="32" spans="1:14" x14ac:dyDescent="0.3">
      <c r="F32">
        <v>28</v>
      </c>
      <c r="K32">
        <f t="shared" si="4"/>
        <v>258.51446098548286</v>
      </c>
      <c r="L32">
        <f t="shared" si="5"/>
        <v>12.925723049274144</v>
      </c>
      <c r="M32">
        <f t="shared" si="6"/>
        <v>14.24475</v>
      </c>
      <c r="N32">
        <f t="shared" si="7"/>
        <v>27.170473049274143</v>
      </c>
    </row>
    <row r="33" spans="6:14" x14ac:dyDescent="0.3">
      <c r="F33">
        <v>29</v>
      </c>
      <c r="K33">
        <f t="shared" si="4"/>
        <v>231.34398793620872</v>
      </c>
      <c r="L33">
        <f t="shared" si="5"/>
        <v>11.567199396810437</v>
      </c>
      <c r="M33">
        <f t="shared" si="6"/>
        <v>14.24475</v>
      </c>
      <c r="N33">
        <f t="shared" si="7"/>
        <v>25.811949396810437</v>
      </c>
    </row>
    <row r="34" spans="6:14" x14ac:dyDescent="0.3">
      <c r="F34">
        <v>30</v>
      </c>
      <c r="K34">
        <f t="shared" si="4"/>
        <v>205.53203853939829</v>
      </c>
      <c r="L34">
        <f t="shared" si="5"/>
        <v>10.276601926969915</v>
      </c>
      <c r="M34">
        <f t="shared" si="6"/>
        <v>14.24475</v>
      </c>
      <c r="N34">
        <f t="shared" si="7"/>
        <v>24.521351926969913</v>
      </c>
    </row>
    <row r="35" spans="6:14" x14ac:dyDescent="0.3">
      <c r="F35">
        <v>31</v>
      </c>
      <c r="K35">
        <f t="shared" si="4"/>
        <v>181.01068661242837</v>
      </c>
      <c r="L35">
        <f t="shared" si="5"/>
        <v>9.050534330621419</v>
      </c>
      <c r="M35">
        <f t="shared" si="6"/>
        <v>14.24475</v>
      </c>
      <c r="N35">
        <f t="shared" si="7"/>
        <v>23.295284330621421</v>
      </c>
    </row>
    <row r="36" spans="6:14" x14ac:dyDescent="0.3">
      <c r="F36">
        <v>32</v>
      </c>
      <c r="K36">
        <f t="shared" si="4"/>
        <v>157.71540228180694</v>
      </c>
      <c r="L36">
        <f t="shared" si="5"/>
        <v>7.8857701140903478</v>
      </c>
      <c r="M36">
        <f t="shared" si="6"/>
        <v>14.24475</v>
      </c>
      <c r="N36">
        <f t="shared" si="7"/>
        <v>22.130520114090348</v>
      </c>
    </row>
    <row r="37" spans="6:14" x14ac:dyDescent="0.3">
      <c r="F37">
        <v>33</v>
      </c>
      <c r="K37">
        <f t="shared" si="4"/>
        <v>135.58488216771659</v>
      </c>
      <c r="L37">
        <f t="shared" si="5"/>
        <v>6.7792441083858295</v>
      </c>
      <c r="M37">
        <f t="shared" si="6"/>
        <v>14.24475</v>
      </c>
      <c r="N37">
        <f t="shared" si="7"/>
        <v>21.023994108385828</v>
      </c>
    </row>
    <row r="38" spans="6:14" x14ac:dyDescent="0.3">
      <c r="F38">
        <v>34</v>
      </c>
      <c r="K38">
        <f t="shared" si="4"/>
        <v>114.56088805933075</v>
      </c>
      <c r="L38">
        <f t="shared" si="5"/>
        <v>5.7280444029665381</v>
      </c>
      <c r="M38">
        <f t="shared" si="6"/>
        <v>14.24475</v>
      </c>
      <c r="N38">
        <f t="shared" si="7"/>
        <v>19.972794402966539</v>
      </c>
    </row>
    <row r="39" spans="6:14" x14ac:dyDescent="0.3">
      <c r="F39">
        <v>35</v>
      </c>
      <c r="K39">
        <f t="shared" si="4"/>
        <v>94.588093656364208</v>
      </c>
      <c r="L39">
        <f t="shared" si="5"/>
        <v>4.7294046828182106</v>
      </c>
      <c r="M39">
        <f t="shared" si="6"/>
        <v>14.24475</v>
      </c>
      <c r="N39">
        <f t="shared" si="7"/>
        <v>18.974154682818209</v>
      </c>
    </row>
    <row r="40" spans="6:14" x14ac:dyDescent="0.3">
      <c r="F40">
        <v>36</v>
      </c>
      <c r="K40">
        <f t="shared" si="4"/>
        <v>75.613938973545999</v>
      </c>
      <c r="L40">
        <f t="shared" si="5"/>
        <v>3.7806969486773001</v>
      </c>
      <c r="M40">
        <f t="shared" si="6"/>
        <v>14.24475</v>
      </c>
      <c r="N40">
        <f t="shared" si="7"/>
        <v>18.025446948677299</v>
      </c>
    </row>
    <row r="41" spans="6:14" x14ac:dyDescent="0.3">
      <c r="F41">
        <v>37</v>
      </c>
      <c r="K41">
        <f t="shared" si="4"/>
        <v>57.5884920248687</v>
      </c>
      <c r="L41">
        <f t="shared" si="5"/>
        <v>2.8794246012434352</v>
      </c>
      <c r="M41">
        <f t="shared" si="6"/>
        <v>14.24475</v>
      </c>
      <c r="N41">
        <f t="shared" si="7"/>
        <v>17.124174601243435</v>
      </c>
    </row>
    <row r="42" spans="6:14" x14ac:dyDescent="0.3">
      <c r="F42">
        <v>38</v>
      </c>
      <c r="K42">
        <f t="shared" si="4"/>
        <v>40.464317423625261</v>
      </c>
      <c r="L42">
        <f t="shared" si="5"/>
        <v>2.0232158711812631</v>
      </c>
      <c r="M42">
        <f t="shared" si="6"/>
        <v>14.24475</v>
      </c>
      <c r="N42">
        <f t="shared" si="7"/>
        <v>16.267965871181264</v>
      </c>
    </row>
    <row r="43" spans="6:14" x14ac:dyDescent="0.3">
      <c r="F43">
        <v>39</v>
      </c>
      <c r="K43">
        <f t="shared" si="4"/>
        <v>24.196351552443996</v>
      </c>
      <c r="L43">
        <f t="shared" si="5"/>
        <v>1.2098175776222</v>
      </c>
      <c r="M43">
        <f t="shared" si="6"/>
        <v>14.24475</v>
      </c>
      <c r="N43">
        <f t="shared" si="7"/>
        <v>15.4545675776222</v>
      </c>
    </row>
    <row r="44" spans="6:14" x14ac:dyDescent="0.3">
      <c r="F44">
        <v>40</v>
      </c>
      <c r="K44">
        <f t="shared" si="4"/>
        <v>8.7417839748217965</v>
      </c>
      <c r="L44">
        <f t="shared" si="5"/>
        <v>0.43708919874108987</v>
      </c>
      <c r="M44">
        <f t="shared" si="6"/>
        <v>14.24475</v>
      </c>
      <c r="N44">
        <f t="shared" si="7"/>
        <v>14.681839198741089</v>
      </c>
    </row>
    <row r="45" spans="6:14" x14ac:dyDescent="0.3">
      <c r="F45">
        <v>41</v>
      </c>
      <c r="K45">
        <f t="shared" si="4"/>
        <v>-5.940055223919293</v>
      </c>
      <c r="L45">
        <f t="shared" si="5"/>
        <v>-0.29700276119596464</v>
      </c>
      <c r="M45">
        <f t="shared" si="6"/>
        <v>14.24475</v>
      </c>
      <c r="N45">
        <f t="shared" si="7"/>
        <v>13.947747238804036</v>
      </c>
    </row>
    <row r="46" spans="6:14" x14ac:dyDescent="0.3">
      <c r="F46">
        <v>42</v>
      </c>
      <c r="K46">
        <f t="shared" si="4"/>
        <v>-19.887802462723329</v>
      </c>
      <c r="L46">
        <f t="shared" si="5"/>
        <v>-0.99439012313616648</v>
      </c>
      <c r="M46">
        <f t="shared" si="6"/>
        <v>14.24475</v>
      </c>
      <c r="N46">
        <f t="shared" si="7"/>
        <v>13.250359876863833</v>
      </c>
    </row>
  </sheetData>
  <conditionalFormatting sqref="G1:G1048576 K1:K104857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D7A82-737B-4234-B5EF-1AD368197F76}">
  <dimension ref="A2:E12"/>
  <sheetViews>
    <sheetView workbookViewId="0">
      <selection activeCell="B12" sqref="B12"/>
    </sheetView>
  </sheetViews>
  <sheetFormatPr defaultRowHeight="14.4" x14ac:dyDescent="0.3"/>
  <cols>
    <col min="1" max="1" width="14.88671875" bestFit="1" customWidth="1"/>
  </cols>
  <sheetData>
    <row r="2" spans="1:5" x14ac:dyDescent="0.3">
      <c r="A2" t="s">
        <v>7</v>
      </c>
      <c r="B2">
        <v>1000</v>
      </c>
      <c r="C2">
        <v>1500</v>
      </c>
      <c r="D2">
        <v>2000</v>
      </c>
      <c r="E2" t="s">
        <v>9</v>
      </c>
    </row>
    <row r="3" spans="1:5" x14ac:dyDescent="0.3">
      <c r="A3" t="s">
        <v>26</v>
      </c>
      <c r="B3">
        <f>0.2*B2</f>
        <v>200</v>
      </c>
      <c r="C3">
        <f>0.2*C2</f>
        <v>300</v>
      </c>
      <c r="D3">
        <f>0.2*D2</f>
        <v>400</v>
      </c>
      <c r="E3" t="s">
        <v>17</v>
      </c>
    </row>
    <row r="4" spans="1:5" x14ac:dyDescent="0.3">
      <c r="A4" t="s">
        <v>27</v>
      </c>
      <c r="B4">
        <f>1200/B3</f>
        <v>6</v>
      </c>
      <c r="C4">
        <f>1200/C3</f>
        <v>4</v>
      </c>
      <c r="D4">
        <f>1200/D3</f>
        <v>3</v>
      </c>
      <c r="E4" t="s">
        <v>23</v>
      </c>
    </row>
    <row r="5" spans="1:5" x14ac:dyDescent="0.3">
      <c r="A5" t="s">
        <v>28</v>
      </c>
      <c r="B5">
        <v>5.6</v>
      </c>
      <c r="C5">
        <v>3.9</v>
      </c>
      <c r="D5">
        <v>3</v>
      </c>
      <c r="E5" t="s">
        <v>23</v>
      </c>
    </row>
    <row r="6" spans="1:5" x14ac:dyDescent="0.3">
      <c r="A6" t="s">
        <v>29</v>
      </c>
      <c r="B6">
        <f>1200/B5</f>
        <v>214.28571428571431</v>
      </c>
      <c r="C6">
        <f>1200/C5</f>
        <v>307.69230769230768</v>
      </c>
      <c r="D6">
        <f>1200/D5</f>
        <v>400</v>
      </c>
      <c r="E6" t="s">
        <v>17</v>
      </c>
    </row>
    <row r="7" spans="1:5" x14ac:dyDescent="0.3">
      <c r="A7" t="s">
        <v>30</v>
      </c>
      <c r="B7">
        <v>46</v>
      </c>
      <c r="C7">
        <v>46</v>
      </c>
      <c r="D7">
        <v>46</v>
      </c>
      <c r="E7" t="s">
        <v>17</v>
      </c>
    </row>
    <row r="8" spans="1:5" x14ac:dyDescent="0.3">
      <c r="A8" t="s">
        <v>31</v>
      </c>
      <c r="B8">
        <f>1200/B7</f>
        <v>26.086956521739129</v>
      </c>
      <c r="C8">
        <f>1200/C7</f>
        <v>26.086956521739129</v>
      </c>
      <c r="D8">
        <f>1200/D7</f>
        <v>26.086956521739129</v>
      </c>
      <c r="E8" t="s">
        <v>23</v>
      </c>
    </row>
    <row r="9" spans="1:5" x14ac:dyDescent="0.3">
      <c r="A9" t="s">
        <v>32</v>
      </c>
      <c r="B9">
        <f>B8-B5</f>
        <v>20.486956521739131</v>
      </c>
      <c r="C9">
        <f>C8-C5</f>
        <v>22.18695652173913</v>
      </c>
      <c r="D9">
        <f>D8-D5</f>
        <v>23.086956521739129</v>
      </c>
      <c r="E9" t="s">
        <v>23</v>
      </c>
    </row>
    <row r="10" spans="1:5" x14ac:dyDescent="0.3">
      <c r="A10" t="s">
        <v>33</v>
      </c>
      <c r="B10">
        <v>20</v>
      </c>
      <c r="C10">
        <v>22</v>
      </c>
      <c r="D10">
        <v>22</v>
      </c>
      <c r="E10" t="s">
        <v>23</v>
      </c>
    </row>
    <row r="11" spans="1:5" x14ac:dyDescent="0.3">
      <c r="A11" t="s">
        <v>34</v>
      </c>
      <c r="B11">
        <f>B10+B5</f>
        <v>25.6</v>
      </c>
      <c r="C11">
        <f>C10+C5</f>
        <v>25.9</v>
      </c>
      <c r="D11">
        <f>D10+D5</f>
        <v>25</v>
      </c>
      <c r="E11" t="s">
        <v>23</v>
      </c>
    </row>
    <row r="12" spans="1:5" x14ac:dyDescent="0.3">
      <c r="A12" t="s">
        <v>35</v>
      </c>
      <c r="B12">
        <f>1200/B11</f>
        <v>46.875</v>
      </c>
      <c r="C12">
        <f>1200/C11</f>
        <v>46.332046332046332</v>
      </c>
      <c r="D12">
        <f>1200/D11</f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9DA4-3BB5-486B-A83C-EDF70B7A698D}">
  <dimension ref="A1:C19"/>
  <sheetViews>
    <sheetView workbookViewId="0">
      <selection activeCell="B32" sqref="B32"/>
    </sheetView>
  </sheetViews>
  <sheetFormatPr defaultRowHeight="14.4" x14ac:dyDescent="0.3"/>
  <cols>
    <col min="1" max="1" width="10" bestFit="1" customWidth="1"/>
  </cols>
  <sheetData>
    <row r="1" spans="1:3" x14ac:dyDescent="0.3">
      <c r="A1" s="1" t="s">
        <v>54</v>
      </c>
      <c r="B1" s="1" t="s">
        <v>55</v>
      </c>
      <c r="C1" s="1" t="s">
        <v>56</v>
      </c>
    </row>
    <row r="2" spans="1:3" x14ac:dyDescent="0.3">
      <c r="A2" t="s">
        <v>36</v>
      </c>
      <c r="B2">
        <v>0.55000000000000004</v>
      </c>
      <c r="C2" t="s">
        <v>13</v>
      </c>
    </row>
    <row r="3" spans="1:3" x14ac:dyDescent="0.3">
      <c r="A3" t="s">
        <v>37</v>
      </c>
      <c r="B3">
        <v>560</v>
      </c>
      <c r="C3" t="s">
        <v>23</v>
      </c>
    </row>
    <row r="4" spans="1:3" x14ac:dyDescent="0.3">
      <c r="A4" t="s">
        <v>38</v>
      </c>
      <c r="B4">
        <v>100</v>
      </c>
      <c r="C4" t="s">
        <v>23</v>
      </c>
    </row>
    <row r="5" spans="1:3" x14ac:dyDescent="0.3">
      <c r="A5" t="s">
        <v>39</v>
      </c>
      <c r="B5">
        <f>B2/B4*(B3+B4)</f>
        <v>3.6300000000000003</v>
      </c>
      <c r="C5" t="s">
        <v>13</v>
      </c>
    </row>
    <row r="6" spans="1:3" x14ac:dyDescent="0.3">
      <c r="A6" t="s">
        <v>68</v>
      </c>
      <c r="B6">
        <f>B5/(B3+B4)*1000</f>
        <v>5.5000000000000009</v>
      </c>
      <c r="C6" t="s">
        <v>69</v>
      </c>
    </row>
    <row r="7" spans="1:3" x14ac:dyDescent="0.3">
      <c r="B7" s="2"/>
    </row>
    <row r="8" spans="1:3" x14ac:dyDescent="0.3">
      <c r="B8" s="2"/>
    </row>
    <row r="10" spans="1:3" x14ac:dyDescent="0.3">
      <c r="A10" t="s">
        <v>44</v>
      </c>
      <c r="B10">
        <v>4.2</v>
      </c>
      <c r="C10" t="s">
        <v>13</v>
      </c>
    </row>
    <row r="11" spans="1:3" x14ac:dyDescent="0.3">
      <c r="A11" t="s">
        <v>42</v>
      </c>
      <c r="B11">
        <v>0.4</v>
      </c>
      <c r="C11" t="s">
        <v>43</v>
      </c>
    </row>
    <row r="12" spans="1:3" x14ac:dyDescent="0.3">
      <c r="A12" t="s">
        <v>40</v>
      </c>
      <c r="B12">
        <f>(B10-B5)*B11</f>
        <v>0.22799999999999995</v>
      </c>
      <c r="C12" t="s">
        <v>41</v>
      </c>
    </row>
    <row r="15" spans="1:3" x14ac:dyDescent="0.3">
      <c r="A15" t="s">
        <v>67</v>
      </c>
      <c r="B15">
        <v>0.1</v>
      </c>
      <c r="C15" t="s">
        <v>69</v>
      </c>
    </row>
    <row r="16" spans="1:3" x14ac:dyDescent="0.3">
      <c r="A16" t="s">
        <v>71</v>
      </c>
      <c r="B16">
        <f>B2/B4*1000</f>
        <v>5.5000000000000009</v>
      </c>
      <c r="C16" t="s">
        <v>69</v>
      </c>
    </row>
    <row r="17" spans="1:3" x14ac:dyDescent="0.3">
      <c r="A17" t="s">
        <v>70</v>
      </c>
      <c r="B17">
        <f>B16+B15</f>
        <v>5.6000000000000005</v>
      </c>
      <c r="C17" t="s">
        <v>69</v>
      </c>
    </row>
    <row r="18" spans="1:3" x14ac:dyDescent="0.3">
      <c r="A18" t="s">
        <v>72</v>
      </c>
      <c r="B18">
        <f>B17*B3/1000</f>
        <v>3.1360000000000006</v>
      </c>
      <c r="C18" t="s">
        <v>13</v>
      </c>
    </row>
    <row r="19" spans="1:3" x14ac:dyDescent="0.3">
      <c r="A19" t="s">
        <v>39</v>
      </c>
      <c r="B19">
        <f>B18+B2</f>
        <v>3.6860000000000008</v>
      </c>
      <c r="C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Battery</vt:lpstr>
      <vt:lpstr>Load</vt:lpstr>
      <vt:lpstr>Model</vt:lpstr>
      <vt:lpstr>BQ21040</vt:lpstr>
      <vt:lpstr>Quiescent Current</vt:lpstr>
      <vt:lpstr>TP4056</vt:lpstr>
      <vt:lpstr>TLV758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2023-08-21T05:02:23Z</dcterms:created>
  <dcterms:modified xsi:type="dcterms:W3CDTF">2024-01-12T05:09:28Z</dcterms:modified>
</cp:coreProperties>
</file>