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lderatta/Dropbox/Calder Flatfish/gene capture protocols/"/>
    </mc:Choice>
  </mc:AlternateContent>
  <xr:revisionPtr revIDLastSave="0" documentId="13_ncr:1_{6083DF70-EE4C-074D-8F20-CE2A370DE414}" xr6:coauthVersionLast="45" xr6:coauthVersionMax="45" xr10:uidLastSave="{00000000-0000-0000-0000-000000000000}"/>
  <bookViews>
    <workbookView xWindow="0" yWindow="460" windowWidth="28420" windowHeight="15900" xr2:uid="{00000000-000D-0000-FFFF-FFFF00000000}"/>
  </bookViews>
  <sheets>
    <sheet name="Full Protoco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3" l="1"/>
  <c r="F8" i="3"/>
  <c r="F7" i="3"/>
  <c r="F6" i="3"/>
  <c r="K6" i="3" s="1"/>
  <c r="K114" i="3"/>
  <c r="G141" i="3" l="1"/>
  <c r="G138" i="3"/>
  <c r="I114" i="3" l="1"/>
  <c r="I116" i="3" s="1"/>
  <c r="M161" i="3"/>
  <c r="M166" i="3" s="1"/>
  <c r="L161" i="3"/>
  <c r="L163" i="3" s="1"/>
  <c r="K161" i="3"/>
  <c r="K166" i="3" s="1"/>
  <c r="J161" i="3"/>
  <c r="J166" i="3" s="1"/>
  <c r="I161" i="3"/>
  <c r="I163" i="3" s="1"/>
  <c r="M150" i="3"/>
  <c r="M156" i="3" s="1"/>
  <c r="L150" i="3"/>
  <c r="L152" i="3" s="1"/>
  <c r="K150" i="3"/>
  <c r="K156" i="3" s="1"/>
  <c r="J150" i="3"/>
  <c r="J156" i="3" s="1"/>
  <c r="I150" i="3"/>
  <c r="I154" i="3" s="1"/>
  <c r="I136" i="3"/>
  <c r="M136" i="3"/>
  <c r="M140" i="3" s="1"/>
  <c r="L136" i="3"/>
  <c r="L140" i="3" s="1"/>
  <c r="K136" i="3"/>
  <c r="K140" i="3" s="1"/>
  <c r="J136" i="3"/>
  <c r="J140" i="3" s="1"/>
  <c r="M127" i="3"/>
  <c r="M131" i="3" s="1"/>
  <c r="L127" i="3"/>
  <c r="L130" i="3" s="1"/>
  <c r="K127" i="3"/>
  <c r="K129" i="3" s="1"/>
  <c r="J127" i="3"/>
  <c r="J132" i="3" s="1"/>
  <c r="I127" i="3"/>
  <c r="I132" i="3" s="1"/>
  <c r="M114" i="3"/>
  <c r="M121" i="3" s="1"/>
  <c r="L114" i="3"/>
  <c r="K120" i="3"/>
  <c r="J114" i="3"/>
  <c r="M80" i="3"/>
  <c r="M83" i="3" s="1"/>
  <c r="L80" i="3"/>
  <c r="L84" i="3" s="1"/>
  <c r="K80" i="3"/>
  <c r="K86" i="3" s="1"/>
  <c r="J80" i="3"/>
  <c r="J84" i="3" s="1"/>
  <c r="I80" i="3"/>
  <c r="I82" i="3" s="1"/>
  <c r="M70" i="3"/>
  <c r="M76" i="3" s="1"/>
  <c r="L70" i="3"/>
  <c r="L74" i="3" s="1"/>
  <c r="K70" i="3"/>
  <c r="K76" i="3" s="1"/>
  <c r="J70" i="3"/>
  <c r="J76" i="3" s="1"/>
  <c r="I70" i="3"/>
  <c r="I76" i="3" s="1"/>
  <c r="M59" i="3"/>
  <c r="L59" i="3"/>
  <c r="K59" i="3"/>
  <c r="K61" i="3" s="1"/>
  <c r="J59" i="3"/>
  <c r="J62" i="3" s="1"/>
  <c r="I59" i="3"/>
  <c r="I62" i="3" s="1"/>
  <c r="M47" i="3"/>
  <c r="M55" i="3" s="1"/>
  <c r="L47" i="3"/>
  <c r="L55" i="3" s="1"/>
  <c r="K47" i="3"/>
  <c r="K55" i="3" s="1"/>
  <c r="J47" i="3"/>
  <c r="J55" i="3" s="1"/>
  <c r="I47" i="3"/>
  <c r="I55" i="3" s="1"/>
  <c r="I122" i="3" l="1"/>
  <c r="K163" i="3"/>
  <c r="K155" i="3"/>
  <c r="K82" i="3"/>
  <c r="I61" i="3"/>
  <c r="L156" i="3"/>
  <c r="L132" i="3"/>
  <c r="M82" i="3"/>
  <c r="M132" i="3"/>
  <c r="J86" i="3"/>
  <c r="L131" i="3"/>
  <c r="J139" i="3"/>
  <c r="K153" i="3"/>
  <c r="K165" i="3"/>
  <c r="M122" i="3"/>
  <c r="K154" i="3"/>
  <c r="I165" i="3"/>
  <c r="K74" i="3"/>
  <c r="J129" i="3"/>
  <c r="M139" i="3"/>
  <c r="K152" i="3"/>
  <c r="K164" i="3"/>
  <c r="J61" i="3"/>
  <c r="M73" i="3"/>
  <c r="L83" i="3"/>
  <c r="M63" i="3"/>
  <c r="M62" i="3"/>
  <c r="M61" i="3"/>
  <c r="I73" i="3"/>
  <c r="M74" i="3"/>
  <c r="L73" i="3"/>
  <c r="L72" i="3"/>
  <c r="L76" i="3"/>
  <c r="I84" i="3"/>
  <c r="K83" i="3"/>
  <c r="J82" i="3"/>
  <c r="I86" i="3"/>
  <c r="I129" i="3"/>
  <c r="K131" i="3"/>
  <c r="J130" i="3"/>
  <c r="M130" i="3"/>
  <c r="K132" i="3"/>
  <c r="L139" i="3"/>
  <c r="I155" i="3"/>
  <c r="J155" i="3"/>
  <c r="J154" i="3"/>
  <c r="J153" i="3"/>
  <c r="J152" i="3"/>
  <c r="I164" i="3"/>
  <c r="J165" i="3"/>
  <c r="J164" i="3"/>
  <c r="J163" i="3"/>
  <c r="J63" i="3"/>
  <c r="I74" i="3"/>
  <c r="M72" i="3"/>
  <c r="I50" i="3"/>
  <c r="I63" i="3"/>
  <c r="L63" i="3"/>
  <c r="L62" i="3"/>
  <c r="L61" i="3"/>
  <c r="I72" i="3"/>
  <c r="K73" i="3"/>
  <c r="K72" i="3"/>
  <c r="I83" i="3"/>
  <c r="K84" i="3"/>
  <c r="J83" i="3"/>
  <c r="M84" i="3"/>
  <c r="L86" i="3"/>
  <c r="M86" i="3"/>
  <c r="I131" i="3"/>
  <c r="J131" i="3"/>
  <c r="L129" i="3"/>
  <c r="M129" i="3"/>
  <c r="K139" i="3"/>
  <c r="I152" i="3"/>
  <c r="M155" i="3"/>
  <c r="M154" i="3"/>
  <c r="M153" i="3"/>
  <c r="M152" i="3"/>
  <c r="I156" i="3"/>
  <c r="M165" i="3"/>
  <c r="M164" i="3"/>
  <c r="M163" i="3"/>
  <c r="I166" i="3"/>
  <c r="K130" i="3"/>
  <c r="I153" i="3"/>
  <c r="L166" i="3"/>
  <c r="K63" i="3"/>
  <c r="K62" i="3"/>
  <c r="J74" i="3"/>
  <c r="J73" i="3"/>
  <c r="J72" i="3"/>
  <c r="L82" i="3"/>
  <c r="I130" i="3"/>
  <c r="L155" i="3"/>
  <c r="L154" i="3"/>
  <c r="L153" i="3"/>
  <c r="L165" i="3"/>
  <c r="L164" i="3"/>
  <c r="I140" i="3"/>
  <c r="I139" i="3"/>
  <c r="L120" i="3"/>
  <c r="L117" i="3"/>
  <c r="L121" i="3"/>
  <c r="K121" i="3"/>
  <c r="J121" i="3"/>
  <c r="M120" i="3"/>
  <c r="J120" i="3"/>
  <c r="M119" i="3"/>
  <c r="L119" i="3"/>
  <c r="K119" i="3"/>
  <c r="J119" i="3"/>
  <c r="M118" i="3"/>
  <c r="L118" i="3"/>
  <c r="K118" i="3"/>
  <c r="J118" i="3"/>
  <c r="M117" i="3"/>
  <c r="K117" i="3"/>
  <c r="J117" i="3"/>
  <c r="M116" i="3"/>
  <c r="L116" i="3"/>
  <c r="K116" i="3"/>
  <c r="J116" i="3"/>
  <c r="I117" i="3"/>
  <c r="I121" i="3"/>
  <c r="I120" i="3"/>
  <c r="I119" i="3"/>
  <c r="I118" i="3"/>
  <c r="F14" i="3" l="1"/>
  <c r="I14" i="3" s="1"/>
  <c r="M138" i="3" l="1"/>
  <c r="L138" i="3"/>
  <c r="J138" i="3"/>
  <c r="K138" i="3"/>
  <c r="I138" i="3"/>
  <c r="I141" i="3"/>
  <c r="L141" i="3"/>
  <c r="J141" i="3"/>
  <c r="M141" i="3"/>
  <c r="K141" i="3"/>
  <c r="K8" i="3"/>
  <c r="F27" i="3"/>
  <c r="G27" i="3" l="1"/>
  <c r="I27" i="3"/>
  <c r="K27" i="3"/>
  <c r="I8" i="3"/>
  <c r="L8" i="3" s="1"/>
  <c r="J19" i="3"/>
  <c r="L29" i="3"/>
  <c r="L34" i="3"/>
  <c r="F26" i="3" l="1"/>
  <c r="K26" i="3" s="1"/>
  <c r="F25" i="3"/>
  <c r="F24" i="3"/>
  <c r="F19" i="3"/>
  <c r="F18" i="3"/>
  <c r="F16" i="3"/>
  <c r="G30" i="3" s="1"/>
  <c r="F15" i="3"/>
  <c r="K15" i="3" s="1"/>
  <c r="F13" i="3"/>
  <c r="F12" i="3"/>
  <c r="K12" i="3" s="1"/>
  <c r="F11" i="3"/>
  <c r="F10" i="3"/>
  <c r="F23" i="3"/>
  <c r="G23" i="3" s="1"/>
  <c r="F22" i="3"/>
  <c r="F21" i="3"/>
  <c r="F20" i="3"/>
  <c r="I6" i="3" l="1"/>
  <c r="L6" i="3" s="1"/>
  <c r="G29" i="3"/>
  <c r="K29" i="3" s="1"/>
  <c r="I15" i="3"/>
  <c r="G36" i="3"/>
  <c r="K36" i="3" s="1"/>
  <c r="I7" i="3"/>
  <c r="L7" i="3" s="1"/>
  <c r="K7" i="3"/>
  <c r="I25" i="3"/>
  <c r="L25" i="3" s="1"/>
  <c r="K25" i="3"/>
  <c r="I11" i="3"/>
  <c r="L11" i="3" s="1"/>
  <c r="K11" i="3"/>
  <c r="K20" i="3"/>
  <c r="I20" i="3"/>
  <c r="K24" i="3"/>
  <c r="I24" i="3"/>
  <c r="K21" i="3"/>
  <c r="I21" i="3"/>
  <c r="I12" i="3"/>
  <c r="L12" i="3" s="1"/>
  <c r="I22" i="3"/>
  <c r="K22" i="3"/>
  <c r="K9" i="3"/>
  <c r="I9" i="3"/>
  <c r="L9" i="3" s="1"/>
  <c r="K13" i="3"/>
  <c r="I13" i="3"/>
  <c r="L13" i="3" s="1"/>
  <c r="I18" i="3"/>
  <c r="K18" i="3"/>
  <c r="G37" i="3"/>
  <c r="K37" i="3" s="1"/>
  <c r="K10" i="3"/>
  <c r="I10" i="3"/>
  <c r="L10" i="3" s="1"/>
  <c r="K14" i="3"/>
  <c r="K19" i="3"/>
  <c r="I19" i="3"/>
  <c r="L19" i="3" s="1"/>
  <c r="I16" i="3"/>
  <c r="L16" i="3" s="1"/>
  <c r="K16" i="3"/>
  <c r="G31" i="3"/>
  <c r="K31" i="3" s="1"/>
  <c r="G34" i="3"/>
  <c r="K34" i="3" s="1"/>
  <c r="K30" i="3"/>
  <c r="G33" i="3"/>
  <c r="G11" i="3"/>
  <c r="G26" i="3"/>
  <c r="I26" i="3" s="1"/>
  <c r="G32" i="3"/>
  <c r="K32" i="3" s="1"/>
  <c r="G10" i="3"/>
  <c r="L14" i="3"/>
  <c r="G13" i="3"/>
  <c r="G7" i="3"/>
  <c r="G12" i="3"/>
  <c r="G25" i="3"/>
  <c r="G20" i="3"/>
  <c r="G21" i="3"/>
  <c r="G22" i="3"/>
  <c r="G19" i="3"/>
  <c r="G24" i="3"/>
  <c r="L122" i="3"/>
  <c r="K122" i="3"/>
  <c r="J122" i="3"/>
  <c r="M111" i="3"/>
  <c r="L111" i="3"/>
  <c r="K111" i="3"/>
  <c r="J111" i="3"/>
  <c r="I111" i="3"/>
  <c r="M110" i="3"/>
  <c r="L110" i="3"/>
  <c r="K110" i="3"/>
  <c r="J110" i="3"/>
  <c r="I110" i="3"/>
  <c r="M109" i="3"/>
  <c r="L109" i="3"/>
  <c r="K109" i="3"/>
  <c r="J109" i="3"/>
  <c r="I109" i="3"/>
  <c r="M108" i="3"/>
  <c r="L108" i="3"/>
  <c r="K108" i="3"/>
  <c r="J108" i="3"/>
  <c r="I108" i="3"/>
  <c r="M107" i="3"/>
  <c r="L107" i="3"/>
  <c r="K107" i="3"/>
  <c r="J107" i="3"/>
  <c r="I107" i="3"/>
  <c r="M104" i="3"/>
  <c r="L104" i="3"/>
  <c r="K104" i="3"/>
  <c r="J104" i="3"/>
  <c r="I104" i="3"/>
  <c r="M103" i="3"/>
  <c r="L103" i="3"/>
  <c r="K103" i="3"/>
  <c r="J103" i="3"/>
  <c r="I103" i="3"/>
  <c r="M102" i="3"/>
  <c r="L102" i="3"/>
  <c r="K102" i="3"/>
  <c r="J102" i="3"/>
  <c r="I102" i="3"/>
  <c r="M101" i="3"/>
  <c r="L101" i="3"/>
  <c r="K101" i="3"/>
  <c r="J101" i="3"/>
  <c r="I101" i="3"/>
  <c r="M100" i="3"/>
  <c r="L100" i="3"/>
  <c r="K100" i="3"/>
  <c r="J100" i="3"/>
  <c r="I100" i="3"/>
  <c r="M99" i="3"/>
  <c r="L99" i="3"/>
  <c r="K99" i="3"/>
  <c r="J99" i="3"/>
  <c r="I99" i="3"/>
  <c r="M96" i="3"/>
  <c r="L96" i="3"/>
  <c r="K96" i="3"/>
  <c r="J96" i="3"/>
  <c r="I96" i="3"/>
  <c r="M95" i="3"/>
  <c r="L95" i="3"/>
  <c r="K95" i="3"/>
  <c r="J95" i="3"/>
  <c r="I95" i="3"/>
  <c r="M94" i="3"/>
  <c r="L94" i="3"/>
  <c r="K94" i="3"/>
  <c r="J94" i="3"/>
  <c r="I94" i="3"/>
  <c r="M93" i="3"/>
  <c r="L93" i="3"/>
  <c r="K93" i="3"/>
  <c r="J93" i="3"/>
  <c r="I93" i="3"/>
  <c r="M92" i="3"/>
  <c r="L92" i="3"/>
  <c r="K92" i="3"/>
  <c r="J92" i="3"/>
  <c r="I92" i="3"/>
  <c r="G85" i="3"/>
  <c r="G75" i="3"/>
  <c r="G65" i="3"/>
  <c r="G64" i="3" s="1"/>
  <c r="G54" i="3"/>
  <c r="L54" i="3" s="1"/>
  <c r="M53" i="3"/>
  <c r="L53" i="3"/>
  <c r="K53" i="3"/>
  <c r="J53" i="3"/>
  <c r="I53" i="3"/>
  <c r="M52" i="3"/>
  <c r="L52" i="3"/>
  <c r="K52" i="3"/>
  <c r="J52" i="3"/>
  <c r="I52" i="3"/>
  <c r="M51" i="3"/>
  <c r="L51" i="3"/>
  <c r="K51" i="3"/>
  <c r="J51" i="3"/>
  <c r="I51" i="3"/>
  <c r="M50" i="3"/>
  <c r="L50" i="3"/>
  <c r="K50" i="3"/>
  <c r="J50" i="3"/>
  <c r="M49" i="3"/>
  <c r="L49" i="3"/>
  <c r="K49" i="3"/>
  <c r="J49" i="3"/>
  <c r="I49" i="3"/>
  <c r="L85" i="3" l="1"/>
  <c r="K85" i="3"/>
  <c r="I85" i="3"/>
  <c r="M85" i="3"/>
  <c r="J85" i="3"/>
  <c r="K75" i="3"/>
  <c r="I75" i="3"/>
  <c r="J75" i="3"/>
  <c r="L75" i="3"/>
  <c r="M75" i="3"/>
  <c r="K64" i="3"/>
  <c r="K65" i="3" s="1"/>
  <c r="L64" i="3"/>
  <c r="L65" i="3" s="1"/>
  <c r="M64" i="3"/>
  <c r="M65" i="3" s="1"/>
  <c r="I64" i="3"/>
  <c r="I65" i="3" s="1"/>
  <c r="J64" i="3"/>
  <c r="J65" i="3" s="1"/>
  <c r="K33" i="3"/>
  <c r="K54" i="3"/>
  <c r="M54" i="3"/>
  <c r="J54" i="3"/>
  <c r="I54" i="3"/>
</calcChain>
</file>

<file path=xl/sharedStrings.xml><?xml version="1.0" encoding="utf-8"?>
<sst xmlns="http://schemas.openxmlformats.org/spreadsheetml/2006/main" count="415" uniqueCount="247">
  <si>
    <t xml:space="preserve">Reagent </t>
  </si>
  <si>
    <t xml:space="preserve">Volume (μL) </t>
  </si>
  <si>
    <t>per sample</t>
  </si>
  <si>
    <t xml:space="preserve">Final concentration </t>
  </si>
  <si>
    <t>in 20-μL reaction</t>
  </si>
  <si>
    <t xml:space="preserve">dNTPs (25 mM each) </t>
  </si>
  <si>
    <t>100 μM each</t>
  </si>
  <si>
    <t>ATP (100 mM)</t>
  </si>
  <si>
    <t>1 mM</t>
  </si>
  <si>
    <t>T4 polynucleotide kinase (10 U/μL)</t>
  </si>
  <si>
    <t>0.5 U/μL</t>
  </si>
  <si>
    <t>T4 DNA polymerase (5 U/μL)</t>
  </si>
  <si>
    <t>0.1 U/μL</t>
  </si>
  <si>
    <r>
      <t>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</si>
  <si>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t>Reagent</t>
  </si>
  <si>
    <t>Volume (μL) per sample</t>
  </si>
  <si>
    <t>PEG-4000 (50%)</t>
  </si>
  <si>
    <t>Adapter mix (50 μM each)</t>
  </si>
  <si>
    <t>2.5 μM each</t>
  </si>
  <si>
    <t>dNTPs (25 mM each)</t>
  </si>
  <si>
    <t>250 μM each</t>
  </si>
  <si>
    <t>Bst polymerase (Bsm polymerase), large fragment (8 U/μL)</t>
  </si>
  <si>
    <t>0.3 U/μL</t>
  </si>
  <si>
    <t>Primer IS7 (10 μM)</t>
  </si>
  <si>
    <t>0.3μM</t>
  </si>
  <si>
    <t>Primer IS8 (10 μM)</t>
  </si>
  <si>
    <t>Total Volume</t>
  </si>
  <si>
    <t>Blunt-end Repair</t>
  </si>
  <si>
    <t>Adapter ligation</t>
  </si>
  <si>
    <t>Fill-in</t>
  </si>
  <si>
    <t>Pre-hybridization PCR</t>
  </si>
  <si>
    <t>T4 DNA ligase (5U/μL)</t>
  </si>
  <si>
    <t>n=</t>
  </si>
  <si>
    <t>Block#1/Human Cot1 (1 μg/μL)</t>
  </si>
  <si>
    <t>BO1.P5.F</t>
  </si>
  <si>
    <t>BO3.P7.part1.F</t>
  </si>
  <si>
    <t>HYB#1/20X SSPE</t>
  </si>
  <si>
    <t>HYB#2/0.5 M EDTA</t>
  </si>
  <si>
    <t>HYB#4/1% SDS</t>
  </si>
  <si>
    <t>SUPERase•In (20U/μl)</t>
  </si>
  <si>
    <t>RNA Baits (MYselect)</t>
  </si>
  <si>
    <t>Bait Mix Old</t>
  </si>
  <si>
    <t>Hybridization Master Mix Old</t>
  </si>
  <si>
    <t>Master Mix Old</t>
  </si>
  <si>
    <t>Baits</t>
  </si>
  <si>
    <t>use n+1</t>
  </si>
  <si>
    <t>Blockers Mix (LIB)</t>
  </si>
  <si>
    <t>pipette error adusted</t>
  </si>
  <si>
    <t>Hyb N = 19.46X SSPE, 13.5mM EDTA</t>
  </si>
  <si>
    <t>Hyb D = 50X Denhardt's Solution</t>
  </si>
  <si>
    <t>Hyb S = 10% SDS</t>
  </si>
  <si>
    <t>Hyb R = RNAsecure</t>
  </si>
  <si>
    <t>Hybridization Mix (HYB) (Adjusted for 0.5uL Baits)</t>
  </si>
  <si>
    <t>Block A = Adapter-specific blocking oligos, 1ug/uL</t>
  </si>
  <si>
    <t>2. Heat mixture on 60°C for 10min then room temp for 5min.</t>
  </si>
  <si>
    <t>Block O = Salmon sperm DNA, 1μg/μL</t>
  </si>
  <si>
    <t>Block C = Human C0t-1 DNA, 1μg/μL</t>
  </si>
  <si>
    <t>1. Prepare HYB mixture in a vial.</t>
  </si>
  <si>
    <t>4. Prepare LIB mixture in a vial.</t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</si>
  <si>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=</t>
    </r>
  </si>
  <si>
    <t>Buffer Tango (10´)</t>
  </si>
  <si>
    <t>1´</t>
  </si>
  <si>
    <t>T4 DNA ligase buffer (10´)</t>
  </si>
  <si>
    <t>ThermoPol reaction buffer (BSM buffer 10´)</t>
  </si>
  <si>
    <t>KAPA HiFitaq Ready Mix (2´)</t>
  </si>
  <si>
    <t>HYB#3/50´Denhardt’s</t>
  </si>
  <si>
    <t>Sample</t>
  </si>
  <si>
    <t>Used</t>
  </si>
  <si>
    <t>Left</t>
  </si>
  <si>
    <t>Supplied</t>
  </si>
  <si>
    <t>Binding Buffer (1M NaCl, 10mM Tris-HCl (pH 7.5), 1mM EDTA)</t>
  </si>
  <si>
    <t>MyOne C1 Dynabeads</t>
  </si>
  <si>
    <t>Wash Buffer (0.1X SSC, 0.1% SDS, 1mM EDTA)</t>
  </si>
  <si>
    <t>Wash Buffer X</t>
  </si>
  <si>
    <t>Supply List</t>
  </si>
  <si>
    <t>10mM Tris-Cl, 0.05% TWEEN-20</t>
  </si>
  <si>
    <t>Primer IS4 (10 μM)</t>
  </si>
  <si>
    <t>0.2μM</t>
  </si>
  <si>
    <t>Indexing Primer</t>
  </si>
  <si>
    <t>AMPure XP Beads</t>
  </si>
  <si>
    <t>20% PEG</t>
  </si>
  <si>
    <t>70% EtOH</t>
  </si>
  <si>
    <t>Index Primer</t>
  </si>
  <si>
    <r>
      <t>SUPERase</t>
    </r>
    <r>
      <rPr>
        <sz val="11"/>
        <color theme="7" tint="-0.249977111117893"/>
        <rFont val="Calibri"/>
        <family val="2"/>
      </rPr>
      <t>·In (20U/μL)</t>
    </r>
  </si>
  <si>
    <t>TWEEN-20</t>
  </si>
  <si>
    <t>AMPLE</t>
  </si>
  <si>
    <t>???</t>
  </si>
  <si>
    <t>-</t>
  </si>
  <si>
    <t>MAKE</t>
  </si>
  <si>
    <t>RXNs=</t>
  </si>
  <si>
    <t>20X SSPE Buffer</t>
  </si>
  <si>
    <t>20X SSC Buffer</t>
  </si>
  <si>
    <t>1M NaCl</t>
  </si>
  <si>
    <t>M-270 Streptavidin Dynabeads (#653-06)</t>
  </si>
  <si>
    <t>125 uL in vial Block #2, not sure how old</t>
  </si>
  <si>
    <t>&gt; half of bottle left, but old</t>
  </si>
  <si>
    <t>&lt;125</t>
  </si>
  <si>
    <t>Hybridization</t>
  </si>
  <si>
    <t>Index PCR</t>
  </si>
  <si>
    <t>Supplied in MyBaits Kit (meant for 48 RXNs)</t>
  </si>
  <si>
    <t>0.5M EDTA (from MERLAB)</t>
  </si>
  <si>
    <t>1M Tris-Cl (pH 8.0) (from MERLAB)</t>
  </si>
  <si>
    <t>10mM Tris-Cl, 0.05% TWEEN-20 (from MERLAB)</t>
  </si>
  <si>
    <t>400uL w/ 10% in old vial</t>
  </si>
  <si>
    <t>TruSeq-style adapters with single 8bp indexing</t>
  </si>
  <si>
    <t>Notes</t>
  </si>
  <si>
    <t>Need</t>
  </si>
  <si>
    <t>Other Reagents</t>
  </si>
  <si>
    <t>Can be used to make or replace reagents above</t>
  </si>
  <si>
    <t>10% SDS</t>
  </si>
  <si>
    <t>nearly all still there, 125uL coming in the mail, switch to RNAsecure after using</t>
  </si>
  <si>
    <t>have almost 250uL in SUPERase</t>
  </si>
  <si>
    <t>from solid</t>
  </si>
  <si>
    <t>700 uL in old vial Hyb #3, need to test</t>
  </si>
  <si>
    <t>130uL from MyBaits, 600uL new in freezer, ~200uL in old vial</t>
  </si>
  <si>
    <t>Hybridization and Blockers Mix Set Up</t>
  </si>
  <si>
    <t>3. After Step 1, place HYB mixture thermocycler.</t>
  </si>
  <si>
    <t>3. Heat mixture on 65°C for at least 30min.</t>
  </si>
  <si>
    <t>6. Add 200μL Binding Buffer, vortex, centrifuge, pellet beads (5min), discard supernatant. (x3)</t>
  </si>
  <si>
    <t>7. Add 70μL Binding Buffer.</t>
  </si>
  <si>
    <t>8. Heat beads on 65°C for at least 2min.</t>
  </si>
  <si>
    <t>9. Transfer HYB-LIB mixture to beads.</t>
  </si>
  <si>
    <t>10. Incubate on 65°C (5min), pellet beads (5min), discard supernatant.</t>
  </si>
  <si>
    <t>2. Aliquot 180μL into 0.2mL tube strips (3 tubes per sample).</t>
  </si>
  <si>
    <t>3. Aliquot 18.5μL into 0.2mL tube strips.</t>
  </si>
  <si>
    <t>1. Place LIB mixture in thermocycler.</t>
  </si>
  <si>
    <t xml:space="preserve">          45sec  \  15sec   -  30sec   -   45sec  /     cycles   -   1min   -  10min   -    ∞       (30 - 40min)</t>
  </si>
  <si>
    <t>V/sample (μL)</t>
  </si>
  <si>
    <t>Hyb N = 19.46X SSPE (9μL), 13.5mM EDTA (0.25μL)</t>
  </si>
  <si>
    <t>4. After Step 2, transfer 18μL HYB mixture into LIB mixture.</t>
  </si>
  <si>
    <t>To make 150mL Binding Buffer:</t>
  </si>
  <si>
    <t>1.5mL 1M Tris-HCl</t>
  </si>
  <si>
    <t>30mL 5M NaCl</t>
  </si>
  <si>
    <t>1.5mL 0.1M EDTA</t>
  </si>
  <si>
    <t>;</t>
  </si>
  <si>
    <t>Note: This method does not work with ancient DNA or samples with DNA fragments &lt; 100bp</t>
  </si>
  <si>
    <t>5. Aliquot 5μL into 0.2mL tube strips.</t>
  </si>
  <si>
    <t xml:space="preserve">         15min   -   5min    -    ∞       (20min)</t>
  </si>
  <si>
    <t>3. Let tubes set for 10 min. Centrifuge. Pellet beads (5-10 min). Discard supernatant.</t>
  </si>
  <si>
    <t>6. Remove residual traces of ethanol. Air-dry beads for 5 min at room temperature without cap.</t>
  </si>
  <si>
    <t xml:space="preserve">     *** Proceed to next step immediately.</t>
  </si>
  <si>
    <t xml:space="preserve">     ***Keep tube on magnetic rack, do not disturb the beads!!!</t>
  </si>
  <si>
    <t>4. Add 186 μL 70% ethanol. After 1 min, discard supernatant.</t>
  </si>
  <si>
    <t>5. Repeat Step 4.</t>
  </si>
  <si>
    <t>in 40-μL reaction</t>
  </si>
  <si>
    <t>1. Prepare master mix in a vial. Vortex. Centrifuge.</t>
  </si>
  <si>
    <t>2. Aliquot 39μL into tube strips with samples + beads. Vortex. Centrifuge.</t>
  </si>
  <si>
    <t>2. Aliquot 20μL into tube strips with samples + beads. Vortex. Centrifuge.</t>
  </si>
  <si>
    <t>3. Add 1μL T4 DNA ligase (5 U/μL) to each sample. Vortex. Centrifuge.</t>
  </si>
  <si>
    <t xml:space="preserve">          22°C    -   15°C</t>
  </si>
  <si>
    <t xml:space="preserve">         30min   -    ∞       (30min)</t>
  </si>
  <si>
    <t>3. Incubate: Place in thermocycler. Start thermal program:</t>
  </si>
  <si>
    <t>in 50-μL reaction</t>
  </si>
  <si>
    <t>2. Aliquot 40μL into tube strips with samples + beads. Vortex. Centrifuge.</t>
  </si>
  <si>
    <t>4. Incubate: Place in thermocycler. Start thermal program:</t>
  </si>
  <si>
    <t xml:space="preserve">         20min   -    ∞       (20min)</t>
  </si>
  <si>
    <t xml:space="preserve">          37°C    -   15°C</t>
  </si>
  <si>
    <t>2. Aliquot 44μL into 0.2mL tube strips. Vortex. Centrifuge.</t>
  </si>
  <si>
    <t>4. Amplify: Place in thermocycler. Start thermal program:</t>
  </si>
  <si>
    <t>3. Add 6μL sample to each tube. Vortex. Centrifuge.</t>
  </si>
  <si>
    <r>
      <t>n</t>
    </r>
    <r>
      <rPr>
        <sz val="11"/>
        <color rgb="FF000000"/>
        <rFont val="Times New Roman"/>
        <family val="1"/>
      </rPr>
      <t>=</t>
    </r>
  </si>
  <si>
    <t>2. Touch-down Incubation: Start thermal program:</t>
  </si>
  <si>
    <t xml:space="preserve">     ***PEG amount is based on solution vol.; in this case 50% of the vol. it is being added to.</t>
  </si>
  <si>
    <t xml:space="preserve">     ***The % is set for each new batch of 20%PEG soln. using a ladder test for desired size range.</t>
  </si>
  <si>
    <t xml:space="preserve">     ***Samples can be kept frozen after this step 7.</t>
  </si>
  <si>
    <r>
      <t xml:space="preserve">SPRY Bead Cleanup (use </t>
    </r>
    <r>
      <rPr>
        <sz val="12"/>
        <color rgb="FFB34EF3"/>
        <rFont val="Times New Roman"/>
        <family val="1"/>
      </rPr>
      <t>10μL</t>
    </r>
    <r>
      <rPr>
        <sz val="12"/>
        <color theme="1"/>
        <rFont val="Times New Roman"/>
        <family val="1"/>
      </rPr>
      <t xml:space="preserve"> 20% PEG)</t>
    </r>
  </si>
  <si>
    <r>
      <t xml:space="preserve">SPRY Bead Cleanup (use </t>
    </r>
    <r>
      <rPr>
        <sz val="12"/>
        <color rgb="FFB34EF3"/>
        <rFont val="Times New Roman"/>
        <family val="1"/>
      </rPr>
      <t>20μL</t>
    </r>
    <r>
      <rPr>
        <sz val="12"/>
        <color theme="1"/>
        <rFont val="Times New Roman"/>
        <family val="1"/>
      </rPr>
      <t xml:space="preserve"> 20% PEG)</t>
    </r>
  </si>
  <si>
    <r>
      <t xml:space="preserve">SPRY Bead Cleanup (use </t>
    </r>
    <r>
      <rPr>
        <sz val="12"/>
        <color rgb="FFB34EF3"/>
        <rFont val="Times New Roman"/>
        <family val="1"/>
      </rPr>
      <t>20μL</t>
    </r>
    <r>
      <rPr>
        <sz val="12"/>
        <color theme="1"/>
        <rFont val="Times New Roman"/>
        <family val="1"/>
      </rPr>
      <t xml:space="preserve"> 20% PEG) </t>
    </r>
    <r>
      <rPr>
        <sz val="12"/>
        <color rgb="FFB34EF3"/>
        <rFont val="Times New Roman"/>
        <family val="1"/>
      </rPr>
      <t>+ Elution (Step 7)</t>
    </r>
  </si>
  <si>
    <r>
      <t xml:space="preserve">SPRY Bead Cleanup (use </t>
    </r>
    <r>
      <rPr>
        <sz val="12"/>
        <color rgb="FFB34EF3"/>
        <rFont val="Times New Roman"/>
        <family val="1"/>
      </rPr>
      <t>25μL</t>
    </r>
    <r>
      <rPr>
        <sz val="12"/>
        <color theme="1"/>
        <rFont val="Times New Roman"/>
        <family val="1"/>
      </rPr>
      <t xml:space="preserve"> 20% PEG) </t>
    </r>
    <r>
      <rPr>
        <sz val="12"/>
        <color rgb="FFB34EF3"/>
        <rFont val="Times New Roman"/>
        <family val="1"/>
      </rPr>
      <t>+ Elution (Step 7)</t>
    </r>
  </si>
  <si>
    <t>Pre-hybridization PCR (for double-capture)</t>
  </si>
  <si>
    <t>1. Prepare Wash Buffer X in a vial. Vortex.</t>
  </si>
  <si>
    <t>4. Add 30μL MyOne C1 Dynabeads into 0.2mL tube trips. LABEL = "sample name + CAP"</t>
  </si>
  <si>
    <t>1. Add 50μL AMPure beads to 0.2mL tube strips. Pellet beads (5min). Discard supernatant.</t>
  </si>
  <si>
    <t>5. Pellet beads (5min). Discard supernatant.</t>
  </si>
  <si>
    <t>11. Add 180μL Wash Buffer X. Vortex. Centrifuge. Incubate on 65°C (5min). Pellet beads (5min). Discard supernatant. (x3)</t>
  </si>
  <si>
    <t>Extract DNA &gt;&gt;&gt; See lab protocol for extracting DNA (Qiagen Blood &amp; Tissue kit).</t>
  </si>
  <si>
    <t>Run Gel &gt;&gt;&gt; See lab protocol for running agarose gel electrophoresis.</t>
  </si>
  <si>
    <t>Quantify &gt;&gt;&gt; See lab protocol for measuring concentration using Qubit 2.0 Fluorometer.</t>
  </si>
  <si>
    <t>Dilution</t>
  </si>
  <si>
    <t>***This doesn't need to be extact. I used 4 different dilution factors.</t>
  </si>
  <si>
    <t>***Don't use any samples that have less than 500ng after extraction.</t>
  </si>
  <si>
    <t xml:space="preserve">     ***Aim for slightly under 500bp, but absolutely no less than 300pb.</t>
  </si>
  <si>
    <t>1. Shear samples to 400 - 500bp using Bioruptor (dial turned left, 1 cycle = 30s on / 30s off).</t>
  </si>
  <si>
    <t>1. Dilute samples to be equimolar to sample with lowest concentration in 120μL.</t>
  </si>
  <si>
    <t>Total Volume (master mix)</t>
  </si>
  <si>
    <t>Total Volume (final)</t>
  </si>
  <si>
    <t>***Final Mixture = 5μL LIB + 7μL sample + 18μL HYB</t>
  </si>
  <si>
    <r>
      <t>7. (Skip; only do later if stated) Elute samples: Add 20μL H</t>
    </r>
    <r>
      <rPr>
        <vertAlign val="subscript"/>
        <sz val="12"/>
        <color rgb="FFB34EF3"/>
        <rFont val="Times New Roman"/>
        <family val="1"/>
      </rPr>
      <t>2</t>
    </r>
    <r>
      <rPr>
        <sz val="12"/>
        <color rgb="FFB34EF3"/>
        <rFont val="Times New Roman"/>
        <family val="1"/>
      </rPr>
      <t>O. Vortex. Centrifuge. Pellet beads (5 min).</t>
    </r>
  </si>
  <si>
    <t>12. Add 30μL 10mM Tris-Cl, 0.05% TWEEN-20.</t>
  </si>
  <si>
    <t>I. Shearing the genomic DNA</t>
  </si>
  <si>
    <t>V. Fill-in</t>
  </si>
  <si>
    <t>VI. Pre-hybridization PCR</t>
  </si>
  <si>
    <t>VII. Hybridization and Blockers Mix Set Up</t>
  </si>
  <si>
    <t>VIII. Hybridization</t>
  </si>
  <si>
    <t>IX. Bind and Wash ("Cleanup")</t>
  </si>
  <si>
    <t>Bind and Wash</t>
  </si>
  <si>
    <t>II. SPRY Bead Cleanup ("Size-select")</t>
  </si>
  <si>
    <t>X. Post-hybridization Indexing PCR</t>
  </si>
  <si>
    <t>IV. Adapter Ligation</t>
  </si>
  <si>
    <t>III. Blunt-end Repair</t>
  </si>
  <si>
    <t xml:space="preserve">          5min   -   5min    -   11hr   -   11hr   -   11hr   -   11hr   -    ∞       (44hr 10min ≈ 2 days)</t>
  </si>
  <si>
    <t>2. Aliquot 34μL into 0.2mL tube strips. Vortex. Centrifuge.</t>
  </si>
  <si>
    <t>3. Add 15μL sample to each tube. Vortex. Centrifuge.</t>
  </si>
  <si>
    <r>
      <t>Pre-hybridization PCR (</t>
    </r>
    <r>
      <rPr>
        <sz val="12"/>
        <color rgb="FFB34EF3"/>
        <rFont val="Times New Roman"/>
        <family val="1"/>
      </rPr>
      <t>follow different mixture for double-capture</t>
    </r>
    <r>
      <rPr>
        <sz val="12"/>
        <color theme="1"/>
        <rFont val="Times New Roman"/>
        <family val="1"/>
      </rPr>
      <t>)</t>
    </r>
  </si>
  <si>
    <t>Mixture in</t>
  </si>
  <si>
    <t xml:space="preserve">Protocol (μL) </t>
  </si>
  <si>
    <t>!!! Skip to Step X if NOT doing double-capture !!!</t>
  </si>
  <si>
    <t>CUSTOM VALUE</t>
  </si>
  <si>
    <t>***Hyb N can be substituted with 9uL 20X SSPE and 0.25uL 0.5M EDTA per sample.</t>
  </si>
  <si>
    <t>***Hyb R can be substituted with SUPERase (which doesn't need to be incubated, but still do to dissolve SDS)</t>
  </si>
  <si>
    <t>&lt;&lt;&lt; Expand to see old Capture protocol</t>
  </si>
  <si>
    <t>***Block A can be substituted with 0.08uL each BO1 and BO3 and 0.34 H2O</t>
  </si>
  <si>
    <t>***With 10mM dNTP, per-sample volume is now 0.2, and 16.2 water</t>
  </si>
  <si>
    <t>***With 10mM dNTP, per-sample volume is now 1.0, and 33.5 water</t>
  </si>
  <si>
    <r>
      <t>H</t>
    </r>
    <r>
      <rPr>
        <vertAlign val="subscript"/>
        <sz val="11"/>
        <color rgb="FFB34EF3"/>
        <rFont val="Times New Roman"/>
        <family val="1"/>
      </rPr>
      <t>2</t>
    </r>
    <r>
      <rPr>
        <sz val="11"/>
        <color rgb="FFB34EF3"/>
        <rFont val="Times New Roman"/>
        <family val="1"/>
      </rPr>
      <t>O (for elution only)</t>
    </r>
  </si>
  <si>
    <t>***With 1% SDS, per-sample volume is now 44.4, and 399.6 water (originally 4.44 and 439.56 respectively)</t>
  </si>
  <si>
    <t>***Used in or replaces another reagent</t>
  </si>
  <si>
    <t>Volume (μL) per</t>
  </si>
  <si>
    <t>sample</t>
  </si>
  <si>
    <t>Exon-capture Lab Procedure</t>
  </si>
  <si>
    <t>Baits: 4434 Markers developed by Jiang et al. 2017 (for all Actinopterygii)</t>
  </si>
  <si>
    <t>(Adapted from methods developed by Chenhong Li Lab (Shanghai Ocean University) and MyBaits user manuals v3 and v4)</t>
  </si>
  <si>
    <t>***Use the yellow cells in top right to calculate reagent volumes for mixtures.</t>
  </si>
  <si>
    <t xml:space="preserve">          Large DNA fragments (&gt; 2000bp): (30s on / 30s off) x 10 cycles</t>
  </si>
  <si>
    <t xml:space="preserve">          Med DNA fragments (600 - 2000bp): (30s on / 30s off) x 5 cycles</t>
  </si>
  <si>
    <t xml:space="preserve">          Small DNA fragments (&lt; 600bp): (30s on / 30s off) x 0 cycles</t>
  </si>
  <si>
    <t>***Run fill-in product and PCR product side-by-side. PCR product should be much brighter.</t>
  </si>
  <si>
    <t>used by Calder Atta (2018)</t>
  </si>
  <si>
    <t>&lt; LIBRARY PREP &gt;=====================================================================================</t>
  </si>
  <si>
    <t>&lt; SET UP &gt;============================================================================================</t>
  </si>
  <si>
    <t>&lt; GENE - CAPTURE &gt;===================================================================================</t>
  </si>
  <si>
    <r>
      <t xml:space="preserve">SPRY Bead Cleanup (use </t>
    </r>
    <r>
      <rPr>
        <sz val="12"/>
        <color rgb="FFB34EF3"/>
        <rFont val="Times New Roman"/>
        <family val="1"/>
      </rPr>
      <t>25μL</t>
    </r>
    <r>
      <rPr>
        <sz val="12"/>
        <color theme="1"/>
        <rFont val="Times New Roman"/>
        <family val="1"/>
      </rPr>
      <t xml:space="preserve"> 20% PEG) </t>
    </r>
    <r>
      <rPr>
        <sz val="12"/>
        <color rgb="FFB34EF3"/>
        <rFont val="Times New Roman"/>
        <family val="1"/>
      </rPr>
      <t>+ Elution (Step 7)</t>
    </r>
    <r>
      <rPr>
        <sz val="12"/>
        <color theme="1"/>
        <rFont val="Times New Roman"/>
        <family val="1"/>
      </rPr>
      <t>; LABEL = "sample name + CAP"</t>
    </r>
  </si>
  <si>
    <t>Pool Samples</t>
  </si>
  <si>
    <t>Quantify &gt;&gt;&gt; See lab protocol for measuring concentration using BioAnalyzer.</t>
  </si>
  <si>
    <t>!!!SEND OFF FOR SEQUENCING! YAY!!!</t>
  </si>
  <si>
    <t>***Only need to do a subset to make sure quantiy and size range is good.</t>
  </si>
  <si>
    <t>***Concentration Should be around 0.1 - 0.9 ng/μL</t>
  </si>
  <si>
    <t>Size Select &gt;&gt;&gt; See lab protocol for size-selcting using Pippin.</t>
  </si>
  <si>
    <t xml:space="preserve">1. Pool samples into one tube in equimolar concentrations. The pooled library should have 20 μL at concentration of </t>
  </si>
  <si>
    <t xml:space="preserve">    2 nM to 50 nM, which is 0.5 ng/μL to13ng/μLfor DNA ~ 500 bp.</t>
  </si>
  <si>
    <t>***Pool volume must be 40μL in TE Buffer</t>
  </si>
  <si>
    <t>Reduce Volume to 20μL &gt;&gt;&gt; See lab protocol for using SpeedVac.</t>
  </si>
  <si>
    <t xml:space="preserve">          25°C    -   12°C   -   12°C</t>
  </si>
  <si>
    <t xml:space="preserve">          98°C   /   98°C  -   65°C   -   72°C  \   x 12-18   -   72°C  -    4°C    -   50°C</t>
  </si>
  <si>
    <t xml:space="preserve">          95°C   -   65°C  -   65°C  -   60°C  -   55°C  -   50°C  -   50°C</t>
  </si>
  <si>
    <r>
      <t xml:space="preserve">2. Add 50μL sample and </t>
    </r>
    <r>
      <rPr>
        <sz val="12"/>
        <color rgb="FFB34EF3"/>
        <rFont val="Times New Roman"/>
        <family val="1"/>
      </rPr>
      <t xml:space="preserve">25μL </t>
    </r>
    <r>
      <rPr>
        <sz val="12"/>
        <color theme="1"/>
        <rFont val="Times New Roman"/>
        <family val="1"/>
      </rPr>
      <t>20% PEG. Vortex.</t>
    </r>
  </si>
  <si>
    <t>6. Add 7μL of sample into 0.2mL tube strips with LIB mixture.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</si>
</sst>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7" tint="-0.249977111117893"/>
      <name val="Times New Roman"/>
      <family val="1"/>
    </font>
    <font>
      <sz val="11"/>
      <color theme="7" tint="-0.249977111117893"/>
      <name val="Calibri"/>
      <family val="2"/>
    </font>
    <font>
      <sz val="12"/>
      <color theme="7" tint="-0.249977111117893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2"/>
      <color rgb="FFB34EF3"/>
      <name val="Times New Roman"/>
      <family val="1"/>
    </font>
    <font>
      <vertAlign val="subscript"/>
      <sz val="12"/>
      <color rgb="FFB34EF3"/>
      <name val="Times New Roman"/>
      <family val="1"/>
    </font>
    <font>
      <sz val="12"/>
      <color theme="0" tint="-0.34998626667073579"/>
      <name val="Times New Roman"/>
      <family val="1"/>
    </font>
    <font>
      <sz val="11"/>
      <name val="Times New Roman"/>
      <family val="1"/>
    </font>
    <font>
      <sz val="12"/>
      <color rgb="FFFF0000"/>
      <name val="Times New Roman"/>
      <family val="1"/>
    </font>
    <font>
      <sz val="11"/>
      <color rgb="FFB34EF3"/>
      <name val="Times New Roman"/>
      <family val="1"/>
    </font>
    <font>
      <vertAlign val="subscript"/>
      <sz val="11"/>
      <color rgb="FFB34EF3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4" fillId="4" borderId="0" xfId="0" applyFont="1" applyFill="1"/>
    <xf numFmtId="0" fontId="4" fillId="0" borderId="0" xfId="0" applyFont="1" applyBorder="1" applyAlignment="1">
      <alignment vertical="center" wrapText="1"/>
    </xf>
    <xf numFmtId="0" fontId="11" fillId="4" borderId="0" xfId="0" applyFont="1" applyFill="1" applyBorder="1" applyAlignment="1">
      <alignment vertical="center" wrapText="1"/>
    </xf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1" fillId="7" borderId="0" xfId="0" applyFont="1" applyFill="1" applyBorder="1" applyAlignment="1">
      <alignment vertical="center" wrapText="1"/>
    </xf>
    <xf numFmtId="0" fontId="13" fillId="0" borderId="0" xfId="0" applyFont="1"/>
    <xf numFmtId="0" fontId="4" fillId="8" borderId="0" xfId="0" applyFont="1" applyFill="1"/>
    <xf numFmtId="0" fontId="4" fillId="8" borderId="0" xfId="0" applyFont="1" applyFill="1" applyBorder="1" applyAlignment="1">
      <alignment vertical="center" wrapText="1"/>
    </xf>
    <xf numFmtId="0" fontId="4" fillId="7" borderId="0" xfId="0" applyFont="1" applyFill="1" applyAlignment="1">
      <alignment vertical="center"/>
    </xf>
    <xf numFmtId="0" fontId="1" fillId="6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9" borderId="8" xfId="0" applyFont="1" applyFill="1" applyBorder="1" applyAlignment="1">
      <alignment horizontal="left"/>
    </xf>
    <xf numFmtId="0" fontId="1" fillId="9" borderId="8" xfId="0" applyFont="1" applyFill="1" applyBorder="1"/>
    <xf numFmtId="0" fontId="1" fillId="9" borderId="9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horizontal="left" vertical="center" wrapText="1"/>
    </xf>
    <xf numFmtId="0" fontId="1" fillId="9" borderId="4" xfId="0" applyFont="1" applyFill="1" applyBorder="1" applyAlignment="1">
      <alignment horizontal="left" vertical="center" wrapText="1"/>
    </xf>
    <xf numFmtId="0" fontId="1" fillId="9" borderId="4" xfId="0" applyFont="1" applyFill="1" applyBorder="1" applyAlignment="1">
      <alignment vertical="center" wrapText="1"/>
    </xf>
    <xf numFmtId="0" fontId="1" fillId="9" borderId="13" xfId="0" applyFont="1" applyFill="1" applyBorder="1" applyAlignment="1">
      <alignment horizontal="left" vertical="center" wrapText="1"/>
    </xf>
    <xf numFmtId="0" fontId="14" fillId="9" borderId="8" xfId="0" applyFont="1" applyFill="1" applyBorder="1" applyAlignment="1">
      <alignment horizontal="left"/>
    </xf>
    <xf numFmtId="0" fontId="14" fillId="9" borderId="8" xfId="0" applyFont="1" applyFill="1" applyBorder="1"/>
    <xf numFmtId="0" fontId="14" fillId="9" borderId="9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left" vertical="center" wrapText="1"/>
    </xf>
    <xf numFmtId="0" fontId="1" fillId="7" borderId="11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13" xfId="0" applyFont="1" applyFill="1" applyBorder="1" applyAlignment="1">
      <alignment horizontal="left" vertical="center" wrapText="1"/>
    </xf>
    <xf numFmtId="0" fontId="1" fillId="9" borderId="8" xfId="0" applyFont="1" applyFill="1" applyBorder="1" applyAlignment="1">
      <alignment horizontal="left" vertical="center" wrapText="1"/>
    </xf>
    <xf numFmtId="0" fontId="1" fillId="9" borderId="8" xfId="0" applyFont="1" applyFill="1" applyBorder="1" applyAlignment="1">
      <alignment vertical="center" wrapText="1"/>
    </xf>
    <xf numFmtId="0" fontId="1" fillId="9" borderId="9" xfId="0" applyFont="1" applyFill="1" applyBorder="1" applyAlignment="1">
      <alignment horizontal="left" vertical="center" wrapText="1"/>
    </xf>
    <xf numFmtId="0" fontId="1" fillId="10" borderId="8" xfId="0" applyFont="1" applyFill="1" applyBorder="1" applyAlignment="1">
      <alignment horizontal="left"/>
    </xf>
    <xf numFmtId="0" fontId="1" fillId="10" borderId="8" xfId="0" applyFont="1" applyFill="1" applyBorder="1"/>
    <xf numFmtId="0" fontId="1" fillId="10" borderId="9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 vertical="center" wrapText="1"/>
    </xf>
    <xf numFmtId="0" fontId="1" fillId="10" borderId="4" xfId="0" applyFont="1" applyFill="1" applyBorder="1" applyAlignment="1">
      <alignment vertical="center" wrapText="1"/>
    </xf>
    <xf numFmtId="0" fontId="1" fillId="10" borderId="13" xfId="0" applyFont="1" applyFill="1" applyBorder="1" applyAlignment="1">
      <alignment horizontal="left" vertical="center" wrapText="1"/>
    </xf>
    <xf numFmtId="0" fontId="1" fillId="10" borderId="8" xfId="0" applyFont="1" applyFill="1" applyBorder="1" applyAlignment="1">
      <alignment horizontal="left" vertical="center" wrapText="1"/>
    </xf>
    <xf numFmtId="0" fontId="1" fillId="10" borderId="9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vertical="center" wrapText="1"/>
    </xf>
    <xf numFmtId="0" fontId="1" fillId="11" borderId="13" xfId="0" applyFont="1" applyFill="1" applyBorder="1" applyAlignment="1">
      <alignment horizontal="left" vertical="center" wrapText="1"/>
    </xf>
    <xf numFmtId="0" fontId="1" fillId="11" borderId="7" xfId="0" applyFont="1" applyFill="1" applyBorder="1" applyAlignment="1">
      <alignment vertical="center"/>
    </xf>
    <xf numFmtId="0" fontId="1" fillId="11" borderId="8" xfId="0" applyFont="1" applyFill="1" applyBorder="1" applyAlignment="1">
      <alignment horizontal="left"/>
    </xf>
    <xf numFmtId="0" fontId="1" fillId="11" borderId="8" xfId="0" applyFont="1" applyFill="1" applyBorder="1"/>
    <xf numFmtId="0" fontId="1" fillId="11" borderId="9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 vertical="center" wrapText="1"/>
    </xf>
    <xf numFmtId="0" fontId="1" fillId="4" borderId="8" xfId="0" applyFont="1" applyFill="1" applyBorder="1"/>
    <xf numFmtId="0" fontId="1" fillId="4" borderId="9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right"/>
    </xf>
    <xf numFmtId="0" fontId="1" fillId="4" borderId="5" xfId="0" applyFont="1" applyFill="1" applyBorder="1"/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right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/>
    </xf>
    <xf numFmtId="0" fontId="1" fillId="10" borderId="8" xfId="0" applyFont="1" applyFill="1" applyBorder="1" applyAlignment="1">
      <alignment vertical="center" wrapText="1"/>
    </xf>
    <xf numFmtId="0" fontId="1" fillId="10" borderId="5" xfId="0" applyFont="1" applyFill="1" applyBorder="1" applyAlignment="1">
      <alignment horizontal="left"/>
    </xf>
    <xf numFmtId="0" fontId="1" fillId="10" borderId="5" xfId="0" applyFont="1" applyFill="1" applyBorder="1"/>
    <xf numFmtId="0" fontId="1" fillId="10" borderId="22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/>
    </xf>
    <xf numFmtId="0" fontId="1" fillId="10" borderId="4" xfId="0" applyFont="1" applyFill="1" applyBorder="1"/>
    <xf numFmtId="0" fontId="1" fillId="10" borderId="13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left"/>
    </xf>
    <xf numFmtId="0" fontId="1" fillId="7" borderId="0" xfId="0" applyFont="1" applyFill="1" applyBorder="1"/>
    <xf numFmtId="0" fontId="1" fillId="7" borderId="11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1" fillId="7" borderId="4" xfId="0" applyFont="1" applyFill="1" applyBorder="1"/>
    <xf numFmtId="0" fontId="1" fillId="7" borderId="13" xfId="0" applyFont="1" applyFill="1" applyBorder="1" applyAlignment="1">
      <alignment horizontal="left"/>
    </xf>
    <xf numFmtId="0" fontId="15" fillId="3" borderId="21" xfId="0" applyFont="1" applyFill="1" applyBorder="1"/>
    <xf numFmtId="0" fontId="15" fillId="3" borderId="22" xfId="0" applyFont="1" applyFill="1" applyBorder="1"/>
    <xf numFmtId="0" fontId="1" fillId="3" borderId="16" xfId="0" applyFont="1" applyFill="1" applyBorder="1" applyAlignment="1">
      <alignment horizontal="left"/>
    </xf>
    <xf numFmtId="0" fontId="1" fillId="3" borderId="22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22" xfId="0" applyFont="1" applyFill="1" applyBorder="1" applyAlignment="1">
      <alignment horizontal="right"/>
    </xf>
    <xf numFmtId="0" fontId="1" fillId="3" borderId="0" xfId="0" applyFont="1" applyFill="1" applyBorder="1" applyAlignment="1">
      <alignment vertical="center"/>
    </xf>
    <xf numFmtId="0" fontId="1" fillId="12" borderId="8" xfId="0" applyFont="1" applyFill="1" applyBorder="1" applyAlignment="1">
      <alignment horizontal="left"/>
    </xf>
    <xf numFmtId="0" fontId="1" fillId="12" borderId="6" xfId="0" applyFont="1" applyFill="1" applyBorder="1" applyAlignment="1">
      <alignment horizontal="left"/>
    </xf>
    <xf numFmtId="0" fontId="1" fillId="12" borderId="15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right" vertical="center" wrapText="1"/>
    </xf>
    <xf numFmtId="0" fontId="1" fillId="12" borderId="0" xfId="0" applyFont="1" applyFill="1" applyBorder="1" applyAlignment="1">
      <alignment horizontal="left"/>
    </xf>
    <xf numFmtId="0" fontId="1" fillId="12" borderId="1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2" fillId="12" borderId="24" xfId="0" applyFont="1" applyFill="1" applyBorder="1" applyAlignment="1">
      <alignment horizontal="left" vertical="center" wrapText="1"/>
    </xf>
    <xf numFmtId="0" fontId="1" fillId="12" borderId="0" xfId="0" applyFont="1" applyFill="1" applyBorder="1" applyAlignment="1">
      <alignment vertical="center" wrapText="1"/>
    </xf>
    <xf numFmtId="0" fontId="1" fillId="12" borderId="0" xfId="0" applyFont="1" applyFill="1" applyBorder="1" applyAlignment="1">
      <alignment horizontal="right"/>
    </xf>
    <xf numFmtId="0" fontId="1" fillId="12" borderId="0" xfId="0" applyFont="1" applyFill="1" applyBorder="1" applyAlignment="1">
      <alignment horizontal="left" vertical="center"/>
    </xf>
    <xf numFmtId="0" fontId="1" fillId="12" borderId="11" xfId="0" applyFont="1" applyFill="1" applyBorder="1" applyAlignment="1">
      <alignment horizontal="left" vertical="center" wrapText="1"/>
    </xf>
    <xf numFmtId="0" fontId="1" fillId="12" borderId="11" xfId="0" applyFont="1" applyFill="1" applyBorder="1" applyAlignment="1">
      <alignment horizontal="left" vertical="center"/>
    </xf>
    <xf numFmtId="0" fontId="1" fillId="12" borderId="0" xfId="0" applyFont="1" applyFill="1" applyBorder="1"/>
    <xf numFmtId="0" fontId="1" fillId="12" borderId="4" xfId="0" applyFont="1" applyFill="1" applyBorder="1" applyAlignment="1">
      <alignment vertical="center" wrapText="1"/>
    </xf>
    <xf numFmtId="0" fontId="1" fillId="12" borderId="4" xfId="0" applyFont="1" applyFill="1" applyBorder="1" applyAlignment="1">
      <alignment horizontal="left" vertical="center"/>
    </xf>
    <xf numFmtId="0" fontId="1" fillId="12" borderId="13" xfId="0" applyFont="1" applyFill="1" applyBorder="1" applyAlignment="1">
      <alignment horizontal="left" vertical="center" wrapText="1"/>
    </xf>
    <xf numFmtId="0" fontId="1" fillId="12" borderId="4" xfId="0" applyFont="1" applyFill="1" applyBorder="1" applyAlignment="1">
      <alignment horizontal="right"/>
    </xf>
    <xf numFmtId="0" fontId="1" fillId="12" borderId="4" xfId="0" applyFont="1" applyFill="1" applyBorder="1"/>
    <xf numFmtId="0" fontId="1" fillId="12" borderId="4" xfId="0" applyFont="1" applyFill="1" applyBorder="1" applyAlignment="1">
      <alignment horizontal="left"/>
    </xf>
    <xf numFmtId="0" fontId="1" fillId="12" borderId="13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 vertical="center" wrapText="1"/>
    </xf>
    <xf numFmtId="0" fontId="4" fillId="12" borderId="7" xfId="0" applyFont="1" applyFill="1" applyBorder="1"/>
    <xf numFmtId="0" fontId="1" fillId="12" borderId="9" xfId="0" applyFont="1" applyFill="1" applyBorder="1" applyAlignment="1">
      <alignment horizontal="left" vertical="center" wrapText="1"/>
    </xf>
    <xf numFmtId="0" fontId="4" fillId="12" borderId="10" xfId="0" applyFont="1" applyFill="1" applyBorder="1"/>
    <xf numFmtId="0" fontId="4" fillId="12" borderId="12" xfId="0" applyFont="1" applyFill="1" applyBorder="1"/>
    <xf numFmtId="0" fontId="2" fillId="12" borderId="3" xfId="0" applyFont="1" applyFill="1" applyBorder="1" applyAlignment="1">
      <alignment horizontal="right" vertical="center"/>
    </xf>
    <xf numFmtId="0" fontId="2" fillId="12" borderId="3" xfId="0" applyFont="1" applyFill="1" applyBorder="1" applyAlignment="1">
      <alignment horizontal="left" vertical="center" wrapText="1"/>
    </xf>
    <xf numFmtId="0" fontId="2" fillId="12" borderId="20" xfId="0" applyFont="1" applyFill="1" applyBorder="1" applyAlignment="1">
      <alignment horizontal="left" vertical="center" wrapText="1"/>
    </xf>
    <xf numFmtId="0" fontId="1" fillId="12" borderId="20" xfId="0" applyFont="1" applyFill="1" applyBorder="1" applyAlignment="1">
      <alignment horizontal="left"/>
    </xf>
    <xf numFmtId="0" fontId="1" fillId="12" borderId="6" xfId="0" applyFont="1" applyFill="1" applyBorder="1"/>
    <xf numFmtId="0" fontId="20" fillId="12" borderId="7" xfId="0" applyFont="1" applyFill="1" applyBorder="1" applyAlignment="1"/>
    <xf numFmtId="0" fontId="5" fillId="12" borderId="10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9" xfId="0" applyFont="1" applyFill="1" applyBorder="1" applyAlignment="1">
      <alignment horizontal="right"/>
    </xf>
    <xf numFmtId="0" fontId="19" fillId="8" borderId="0" xfId="0" applyFont="1" applyFill="1"/>
    <xf numFmtId="0" fontId="19" fillId="6" borderId="0" xfId="0" applyFont="1" applyFill="1"/>
    <xf numFmtId="0" fontId="19" fillId="5" borderId="0" xfId="0" applyFont="1" applyFill="1"/>
    <xf numFmtId="0" fontId="4" fillId="3" borderId="5" xfId="0" applyFont="1" applyFill="1" applyBorder="1"/>
    <xf numFmtId="0" fontId="4" fillId="3" borderId="22" xfId="0" applyFont="1" applyFill="1" applyBorder="1"/>
    <xf numFmtId="0" fontId="4" fillId="7" borderId="0" xfId="0" applyFont="1" applyFill="1" applyAlignment="1"/>
    <xf numFmtId="0" fontId="9" fillId="7" borderId="2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1" fillId="3" borderId="5" xfId="0" applyFont="1" applyFill="1" applyBorder="1" applyAlignment="1"/>
    <xf numFmtId="0" fontId="1" fillId="12" borderId="6" xfId="0" applyFont="1" applyFill="1" applyBorder="1" applyAlignment="1"/>
    <xf numFmtId="0" fontId="9" fillId="12" borderId="0" xfId="0" applyFont="1" applyFill="1" applyBorder="1" applyAlignment="1">
      <alignment vertical="center"/>
    </xf>
    <xf numFmtId="0" fontId="9" fillId="12" borderId="3" xfId="0" applyFont="1" applyFill="1" applyBorder="1" applyAlignment="1">
      <alignment vertical="center"/>
    </xf>
    <xf numFmtId="0" fontId="1" fillId="12" borderId="3" xfId="0" applyFont="1" applyFill="1" applyBorder="1" applyAlignment="1">
      <alignment vertical="center"/>
    </xf>
    <xf numFmtId="0" fontId="1" fillId="12" borderId="0" xfId="0" applyFont="1" applyFill="1" applyBorder="1" applyAlignment="1">
      <alignment horizontal="right" vertical="center"/>
    </xf>
    <xf numFmtId="0" fontId="1" fillId="12" borderId="1" xfId="0" applyFont="1" applyFill="1" applyBorder="1" applyAlignment="1">
      <alignment vertical="center"/>
    </xf>
    <xf numFmtId="0" fontId="1" fillId="12" borderId="0" xfId="0" applyFont="1" applyFill="1" applyBorder="1" applyAlignment="1">
      <alignment vertical="center"/>
    </xf>
    <xf numFmtId="0" fontId="1" fillId="12" borderId="0" xfId="0" applyFont="1" applyFill="1" applyBorder="1" applyAlignment="1"/>
    <xf numFmtId="0" fontId="1" fillId="12" borderId="4" xfId="0" applyFont="1" applyFill="1" applyBorder="1" applyAlignment="1">
      <alignment vertical="center"/>
    </xf>
    <xf numFmtId="1" fontId="4" fillId="12" borderId="0" xfId="0" applyNumberFormat="1" applyFont="1" applyFill="1" applyBorder="1" applyAlignment="1"/>
    <xf numFmtId="0" fontId="4" fillId="12" borderId="0" xfId="0" applyFont="1" applyFill="1" applyBorder="1" applyAlignment="1"/>
    <xf numFmtId="0" fontId="4" fillId="0" borderId="0" xfId="0" applyFont="1" applyAlignment="1"/>
    <xf numFmtId="0" fontId="9" fillId="2" borderId="15" xfId="0" applyFont="1" applyFill="1" applyBorder="1" applyAlignment="1">
      <alignment vertical="center"/>
    </xf>
    <xf numFmtId="0" fontId="1" fillId="2" borderId="11" xfId="0" applyFont="1" applyFill="1" applyBorder="1" applyAlignment="1"/>
    <xf numFmtId="0" fontId="16" fillId="2" borderId="11" xfId="0" applyFont="1" applyFill="1" applyBorder="1" applyAlignment="1"/>
    <xf numFmtId="0" fontId="16" fillId="2" borderId="13" xfId="0" applyFont="1" applyFill="1" applyBorder="1" applyAlignment="1"/>
    <xf numFmtId="0" fontId="1" fillId="9" borderId="8" xfId="0" applyFont="1" applyFill="1" applyBorder="1" applyAlignment="1"/>
    <xf numFmtId="0" fontId="1" fillId="6" borderId="2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1" fillId="9" borderId="4" xfId="0" applyFont="1" applyFill="1" applyBorder="1" applyAlignment="1">
      <alignment vertical="center"/>
    </xf>
    <xf numFmtId="0" fontId="1" fillId="0" borderId="0" xfId="0" applyFont="1" applyAlignment="1"/>
    <xf numFmtId="0" fontId="1" fillId="9" borderId="8" xfId="0" applyFont="1" applyFill="1" applyBorder="1" applyAlignment="1">
      <alignment vertical="center"/>
    </xf>
    <xf numFmtId="0" fontId="14" fillId="9" borderId="8" xfId="0" applyFont="1" applyFill="1" applyBorder="1" applyAlignment="1"/>
    <xf numFmtId="0" fontId="1" fillId="10" borderId="8" xfId="0" applyFont="1" applyFill="1" applyBorder="1" applyAlignment="1"/>
    <xf numFmtId="0" fontId="1" fillId="7" borderId="2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10" borderId="8" xfId="0" applyFont="1" applyFill="1" applyBorder="1" applyAlignment="1">
      <alignment horizontal="right" vertical="center"/>
    </xf>
    <xf numFmtId="0" fontId="1" fillId="7" borderId="4" xfId="0" applyFont="1" applyFill="1" applyBorder="1" applyAlignment="1">
      <alignment horizontal="right" vertical="center"/>
    </xf>
    <xf numFmtId="0" fontId="1" fillId="10" borderId="4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11" borderId="8" xfId="0" applyFont="1" applyFill="1" applyBorder="1" applyAlignment="1"/>
    <xf numFmtId="0" fontId="9" fillId="5" borderId="3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11" borderId="4" xfId="0" applyFont="1" applyFill="1" applyBorder="1" applyAlignment="1">
      <alignment vertical="center"/>
    </xf>
    <xf numFmtId="0" fontId="1" fillId="0" borderId="0" xfId="0" applyFont="1" applyBorder="1" applyAlignment="1"/>
    <xf numFmtId="0" fontId="1" fillId="11" borderId="5" xfId="0" applyFont="1" applyFill="1" applyBorder="1" applyAlignment="1">
      <alignment vertical="center"/>
    </xf>
    <xf numFmtId="0" fontId="1" fillId="4" borderId="8" xfId="0" applyFont="1" applyFill="1" applyBorder="1" applyAlignment="1"/>
    <xf numFmtId="0" fontId="9" fillId="2" borderId="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1" fillId="2" borderId="0" xfId="0" applyFont="1" applyFill="1" applyBorder="1" applyAlignment="1"/>
    <xf numFmtId="0" fontId="1" fillId="4" borderId="5" xfId="0" applyFont="1" applyFill="1" applyBorder="1" applyAlignment="1"/>
    <xf numFmtId="0" fontId="1" fillId="2" borderId="11" xfId="0" applyFont="1" applyFill="1" applyBorder="1" applyAlignment="1">
      <alignment vertical="center"/>
    </xf>
    <xf numFmtId="0" fontId="1" fillId="2" borderId="13" xfId="0" applyFont="1" applyFill="1" applyBorder="1" applyAlignment="1"/>
    <xf numFmtId="0" fontId="9" fillId="7" borderId="3" xfId="0" applyFont="1" applyFill="1" applyBorder="1" applyAlignment="1">
      <alignment vertical="center"/>
    </xf>
    <xf numFmtId="0" fontId="1" fillId="10" borderId="8" xfId="0" applyFont="1" applyFill="1" applyBorder="1" applyAlignment="1">
      <alignment vertical="center"/>
    </xf>
    <xf numFmtId="0" fontId="1" fillId="10" borderId="5" xfId="0" applyFont="1" applyFill="1" applyBorder="1" applyAlignment="1"/>
    <xf numFmtId="0" fontId="1" fillId="7" borderId="0" xfId="0" applyFont="1" applyFill="1" applyBorder="1" applyAlignment="1"/>
    <xf numFmtId="0" fontId="1" fillId="7" borderId="4" xfId="0" applyFont="1" applyFill="1" applyBorder="1" applyAlignment="1"/>
    <xf numFmtId="0" fontId="1" fillId="10" borderId="4" xfId="0" applyFont="1" applyFill="1" applyBorder="1" applyAlignment="1"/>
    <xf numFmtId="0" fontId="9" fillId="12" borderId="0" xfId="0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9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9" fontId="1" fillId="6" borderId="0" xfId="0" applyNumberFormat="1" applyFont="1" applyFill="1" applyBorder="1" applyAlignment="1">
      <alignment horizontal="left" vertical="center"/>
    </xf>
    <xf numFmtId="0" fontId="1" fillId="9" borderId="8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10" borderId="8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 vertical="center"/>
    </xf>
    <xf numFmtId="0" fontId="1" fillId="11" borderId="5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 vertical="center"/>
    </xf>
    <xf numFmtId="0" fontId="9" fillId="7" borderId="3" xfId="0" applyFont="1" applyFill="1" applyBorder="1" applyAlignment="1">
      <alignment horizontal="left" vertical="center"/>
    </xf>
    <xf numFmtId="0" fontId="1" fillId="3" borderId="21" xfId="0" applyFont="1" applyFill="1" applyBorder="1" applyAlignment="1"/>
    <xf numFmtId="0" fontId="18" fillId="12" borderId="14" xfId="0" applyFont="1" applyFill="1" applyBorder="1" applyAlignment="1">
      <alignment vertical="center"/>
    </xf>
    <xf numFmtId="0" fontId="1" fillId="12" borderId="19" xfId="0" applyFont="1" applyFill="1" applyBorder="1" applyAlignment="1">
      <alignment vertical="center"/>
    </xf>
    <xf numFmtId="0" fontId="1" fillId="12" borderId="10" xfId="0" applyFont="1" applyFill="1" applyBorder="1" applyAlignment="1">
      <alignment vertical="center"/>
    </xf>
    <xf numFmtId="0" fontId="1" fillId="12" borderId="10" xfId="0" applyFont="1" applyFill="1" applyBorder="1" applyAlignment="1"/>
    <xf numFmtId="0" fontId="1" fillId="12" borderId="23" xfId="0" applyFont="1" applyFill="1" applyBorder="1" applyAlignment="1">
      <alignment vertical="center"/>
    </xf>
    <xf numFmtId="0" fontId="1" fillId="12" borderId="12" xfId="0" applyFont="1" applyFill="1" applyBorder="1" applyAlignment="1">
      <alignment vertical="center"/>
    </xf>
    <xf numFmtId="0" fontId="6" fillId="12" borderId="10" xfId="0" applyFont="1" applyFill="1" applyBorder="1" applyAlignment="1">
      <alignment vertical="center"/>
    </xf>
    <xf numFmtId="0" fontId="6" fillId="12" borderId="10" xfId="0" applyFont="1" applyFill="1" applyBorder="1" applyAlignment="1"/>
    <xf numFmtId="0" fontId="6" fillId="12" borderId="12" xfId="0" applyFont="1" applyFill="1" applyBorder="1" applyAlignment="1"/>
    <xf numFmtId="0" fontId="8" fillId="0" borderId="0" xfId="0" applyFont="1" applyAlignment="1"/>
    <xf numFmtId="0" fontId="1" fillId="2" borderId="14" xfId="0" applyFont="1" applyFill="1" applyBorder="1" applyAlignment="1">
      <alignment vertical="center"/>
    </xf>
    <xf numFmtId="0" fontId="1" fillId="2" borderId="10" xfId="0" applyFont="1" applyFill="1" applyBorder="1" applyAlignment="1"/>
    <xf numFmtId="0" fontId="16" fillId="2" borderId="12" xfId="0" applyFont="1" applyFill="1" applyBorder="1" applyAlignment="1">
      <alignment vertical="center"/>
    </xf>
    <xf numFmtId="0" fontId="1" fillId="9" borderId="7" xfId="0" applyFon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9" borderId="12" xfId="0" applyFont="1" applyFill="1" applyBorder="1" applyAlignment="1">
      <alignment vertical="center"/>
    </xf>
    <xf numFmtId="0" fontId="14" fillId="9" borderId="7" xfId="0" applyFont="1" applyFill="1" applyBorder="1" applyAlignment="1">
      <alignment vertical="center"/>
    </xf>
    <xf numFmtId="0" fontId="1" fillId="10" borderId="7" xfId="0" applyFont="1" applyFill="1" applyBorder="1" applyAlignment="1">
      <alignment vertical="center"/>
    </xf>
    <xf numFmtId="0" fontId="1" fillId="7" borderId="10" xfId="0" applyFont="1" applyFill="1" applyBorder="1" applyAlignment="1">
      <alignment vertical="center"/>
    </xf>
    <xf numFmtId="0" fontId="1" fillId="7" borderId="12" xfId="0" applyFont="1" applyFill="1" applyBorder="1" applyAlignment="1">
      <alignment vertical="center"/>
    </xf>
    <xf numFmtId="0" fontId="1" fillId="10" borderId="7" xfId="0" applyFont="1" applyFill="1" applyBorder="1" applyAlignment="1">
      <alignment horizontal="left" vertical="center"/>
    </xf>
    <xf numFmtId="0" fontId="1" fillId="7" borderId="12" xfId="0" applyFont="1" applyFill="1" applyBorder="1" applyAlignment="1">
      <alignment horizontal="left" vertical="center"/>
    </xf>
    <xf numFmtId="0" fontId="1" fillId="10" borderId="1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11" borderId="12" xfId="0" applyFont="1" applyFill="1" applyBorder="1" applyAlignment="1">
      <alignment vertical="center"/>
    </xf>
    <xf numFmtId="0" fontId="1" fillId="11" borderId="21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4" borderId="21" xfId="0" applyFont="1" applyFill="1" applyBorder="1" applyAlignment="1">
      <alignment vertical="center"/>
    </xf>
    <xf numFmtId="0" fontId="1" fillId="2" borderId="12" xfId="0" applyFont="1" applyFill="1" applyBorder="1" applyAlignment="1"/>
    <xf numFmtId="0" fontId="1" fillId="7" borderId="10" xfId="0" applyFont="1" applyFill="1" applyBorder="1" applyAlignment="1"/>
    <xf numFmtId="0" fontId="1" fillId="7" borderId="12" xfId="0" applyFont="1" applyFill="1" applyBorder="1" applyAlignment="1"/>
    <xf numFmtId="0" fontId="11" fillId="4" borderId="0" xfId="0" applyFont="1" applyFill="1" applyBorder="1" applyAlignment="1">
      <alignment vertical="center"/>
    </xf>
    <xf numFmtId="0" fontId="9" fillId="12" borderId="10" xfId="0" applyFont="1" applyFill="1" applyBorder="1" applyAlignment="1">
      <alignment vertical="center"/>
    </xf>
    <xf numFmtId="0" fontId="9" fillId="12" borderId="19" xfId="0" applyFont="1" applyFill="1" applyBorder="1" applyAlignment="1">
      <alignment vertical="center"/>
    </xf>
    <xf numFmtId="0" fontId="10" fillId="12" borderId="0" xfId="0" applyFont="1" applyFill="1" applyBorder="1" applyAlignment="1">
      <alignment horizontal="right" vertical="center" wrapText="1"/>
    </xf>
    <xf numFmtId="0" fontId="10" fillId="12" borderId="3" xfId="0" applyFont="1" applyFill="1" applyBorder="1" applyAlignment="1">
      <alignment horizontal="right" vertical="center" wrapText="1"/>
    </xf>
    <xf numFmtId="0" fontId="1" fillId="12" borderId="0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7" borderId="18" xfId="0" applyFont="1" applyFill="1" applyBorder="1" applyAlignment="1">
      <alignment horizontal="left" vertical="center" wrapText="1"/>
    </xf>
    <xf numFmtId="0" fontId="2" fillId="7" borderId="20" xfId="0" applyFont="1" applyFill="1" applyBorder="1" applyAlignment="1">
      <alignment horizontal="left" vertical="center" wrapText="1"/>
    </xf>
    <xf numFmtId="0" fontId="9" fillId="7" borderId="17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10" fillId="7" borderId="2" xfId="0" applyFont="1" applyFill="1" applyBorder="1" applyAlignment="1">
      <alignment horizontal="right" vertical="center" wrapText="1"/>
    </xf>
    <xf numFmtId="0" fontId="10" fillId="7" borderId="3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18" xfId="0" applyFont="1" applyFill="1" applyBorder="1" applyAlignment="1">
      <alignment horizontal="left" vertical="center" wrapText="1"/>
    </xf>
    <xf numFmtId="0" fontId="2" fillId="5" borderId="20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vertical="center"/>
    </xf>
    <xf numFmtId="0" fontId="9" fillId="2" borderId="19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right" vertical="center" wrapText="1"/>
    </xf>
    <xf numFmtId="0" fontId="10" fillId="2" borderId="3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10" fillId="5" borderId="2" xfId="0" applyFont="1" applyFill="1" applyBorder="1" applyAlignment="1">
      <alignment horizontal="right" vertical="center" wrapText="1"/>
    </xf>
    <xf numFmtId="0" fontId="10" fillId="5" borderId="3" xfId="0" applyFont="1" applyFill="1" applyBorder="1" applyAlignment="1">
      <alignment horizontal="right" vertical="center" wrapText="1"/>
    </xf>
    <xf numFmtId="0" fontId="1" fillId="7" borderId="3" xfId="0" applyFont="1" applyFill="1" applyBorder="1" applyAlignment="1">
      <alignment horizontal="left" vertical="center" wrapText="1"/>
    </xf>
    <xf numFmtId="0" fontId="1" fillId="7" borderId="20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center" wrapText="1"/>
    </xf>
    <xf numFmtId="0" fontId="1" fillId="7" borderId="17" xfId="0" applyFont="1" applyFill="1" applyBorder="1" applyAlignment="1">
      <alignment vertical="center"/>
    </xf>
    <xf numFmtId="0" fontId="1" fillId="7" borderId="19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right" vertical="center" wrapText="1"/>
    </xf>
    <xf numFmtId="0" fontId="1" fillId="7" borderId="3" xfId="0" applyFont="1" applyFill="1" applyBorder="1" applyAlignment="1">
      <alignment horizontal="righ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2" fillId="6" borderId="18" xfId="0" applyFont="1" applyFill="1" applyBorder="1" applyAlignment="1">
      <alignment horizontal="left" vertical="center" wrapText="1"/>
    </xf>
    <xf numFmtId="0" fontId="1" fillId="6" borderId="20" xfId="0" applyFont="1" applyFill="1" applyBorder="1" applyAlignment="1">
      <alignment horizontal="left" vertical="center" wrapText="1"/>
    </xf>
    <xf numFmtId="0" fontId="1" fillId="6" borderId="17" xfId="0" applyFont="1" applyFill="1" applyBorder="1" applyAlignment="1">
      <alignment vertical="center"/>
    </xf>
    <xf numFmtId="0" fontId="1" fillId="6" borderId="19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right" vertical="center" wrapText="1"/>
    </xf>
    <xf numFmtId="0" fontId="1" fillId="6" borderId="3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4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257"/>
  <sheetViews>
    <sheetView tabSelected="1" topLeftCell="C1" zoomScale="108" zoomScaleNormal="108" workbookViewId="0">
      <pane ySplit="1" topLeftCell="A88" activePane="bottomLeft" state="frozen"/>
      <selection activeCell="B1" sqref="B1"/>
      <selection pane="bottomLeft" activeCell="J123" sqref="J123"/>
    </sheetView>
  </sheetViews>
  <sheetFormatPr baseColWidth="10" defaultColWidth="11" defaultRowHeight="16" customHeight="1" x14ac:dyDescent="0.2"/>
  <cols>
    <col min="1" max="1" width="3.1640625" style="10" customWidth="1"/>
    <col min="2" max="2" width="4.5" style="10" customWidth="1"/>
    <col min="3" max="3" width="103" style="10" customWidth="1"/>
    <col min="4" max="4" width="2.6640625" style="11" customWidth="1"/>
    <col min="5" max="5" width="52.33203125" style="173" customWidth="1"/>
    <col min="6" max="6" width="15.5" style="12" customWidth="1"/>
    <col min="7" max="7" width="11.1640625" style="173" customWidth="1"/>
    <col min="8" max="8" width="3.6640625" style="10" customWidth="1"/>
    <col min="9" max="10" width="7.6640625" style="12" customWidth="1"/>
    <col min="11" max="11" width="7" style="12" customWidth="1"/>
    <col min="12" max="12" width="7.5" style="12" customWidth="1"/>
    <col min="13" max="13" width="15.83203125" style="12" customWidth="1"/>
    <col min="14" max="14" width="44.6640625" style="12" customWidth="1"/>
    <col min="15" max="16384" width="11" style="10"/>
  </cols>
  <sheetData>
    <row r="1" spans="1:14" ht="16" customHeight="1" x14ac:dyDescent="0.2">
      <c r="B1" s="146" t="s">
        <v>219</v>
      </c>
      <c r="C1" s="150"/>
      <c r="E1" s="249" t="s">
        <v>14</v>
      </c>
      <c r="F1" s="112"/>
      <c r="G1" s="161" t="s">
        <v>127</v>
      </c>
      <c r="H1" s="113" t="s">
        <v>59</v>
      </c>
      <c r="I1" s="111">
        <v>12</v>
      </c>
      <c r="J1" s="110">
        <v>16</v>
      </c>
      <c r="K1" s="110">
        <v>32</v>
      </c>
      <c r="L1" s="110">
        <v>64</v>
      </c>
      <c r="M1" s="110" t="s">
        <v>207</v>
      </c>
    </row>
    <row r="2" spans="1:14" ht="16" customHeight="1" thickBot="1" x14ac:dyDescent="0.25">
      <c r="B2" s="147" t="s">
        <v>221</v>
      </c>
      <c r="C2" s="148"/>
      <c r="E2" s="250" t="s">
        <v>74</v>
      </c>
      <c r="F2" s="116"/>
      <c r="G2" s="162"/>
      <c r="H2" s="145"/>
      <c r="I2" s="116"/>
      <c r="J2" s="116"/>
      <c r="K2" s="116"/>
      <c r="L2" s="116"/>
      <c r="M2" s="116"/>
      <c r="N2" s="117"/>
    </row>
    <row r="3" spans="1:14" ht="16" customHeight="1" x14ac:dyDescent="0.2">
      <c r="B3" s="139" t="s">
        <v>227</v>
      </c>
      <c r="C3" s="148"/>
      <c r="E3" s="285" t="s">
        <v>0</v>
      </c>
      <c r="F3" s="220" t="s">
        <v>217</v>
      </c>
      <c r="G3" s="163" t="s">
        <v>1</v>
      </c>
      <c r="H3" s="287"/>
      <c r="I3" s="289" t="s">
        <v>67</v>
      </c>
      <c r="J3" s="289" t="s">
        <v>69</v>
      </c>
      <c r="K3" s="289" t="s">
        <v>106</v>
      </c>
      <c r="L3" s="289" t="s">
        <v>68</v>
      </c>
      <c r="M3" s="289" t="s">
        <v>105</v>
      </c>
      <c r="N3" s="120"/>
    </row>
    <row r="4" spans="1:14" ht="16" customHeight="1" thickBot="1" x14ac:dyDescent="0.25">
      <c r="B4" s="139" t="s">
        <v>220</v>
      </c>
      <c r="C4" s="148"/>
      <c r="E4" s="286"/>
      <c r="F4" s="221" t="s">
        <v>218</v>
      </c>
      <c r="G4" s="164" t="s">
        <v>2</v>
      </c>
      <c r="H4" s="288"/>
      <c r="I4" s="290"/>
      <c r="J4" s="290"/>
      <c r="K4" s="290"/>
      <c r="L4" s="290"/>
      <c r="M4" s="290"/>
      <c r="N4" s="144"/>
    </row>
    <row r="5" spans="1:14" ht="16" customHeight="1" thickBot="1" x14ac:dyDescent="0.25">
      <c r="B5" s="139"/>
      <c r="C5" s="148"/>
      <c r="E5" s="251" t="s">
        <v>99</v>
      </c>
      <c r="F5" s="165"/>
      <c r="G5" s="165"/>
      <c r="H5" s="141" t="s">
        <v>89</v>
      </c>
      <c r="I5" s="142">
        <v>28</v>
      </c>
      <c r="J5" s="142">
        <v>48</v>
      </c>
      <c r="K5" s="142">
        <v>252</v>
      </c>
      <c r="L5" s="142">
        <v>20</v>
      </c>
      <c r="M5" s="142"/>
      <c r="N5" s="143"/>
    </row>
    <row r="6" spans="1:14" ht="16" customHeight="1" x14ac:dyDescent="0.2">
      <c r="B6" s="139" t="s">
        <v>222</v>
      </c>
      <c r="C6" s="148"/>
      <c r="E6" s="252" t="s">
        <v>48</v>
      </c>
      <c r="F6" s="168">
        <f>G116*2</f>
        <v>18.5</v>
      </c>
      <c r="G6" s="124" t="s">
        <v>87</v>
      </c>
      <c r="H6" s="123"/>
      <c r="I6" s="125">
        <f t="shared" ref="I6:I12" si="0">F6*(1+13.5+7.5)</f>
        <v>407</v>
      </c>
      <c r="J6" s="125">
        <v>500</v>
      </c>
      <c r="K6" s="125">
        <f>F6*(126-14-7.5)</f>
        <v>1933.25</v>
      </c>
      <c r="L6" s="125">
        <f t="shared" ref="L6:L16" si="1">J6-I6</f>
        <v>93</v>
      </c>
      <c r="M6" s="119"/>
      <c r="N6" s="126"/>
    </row>
    <row r="7" spans="1:14" ht="16" customHeight="1" x14ac:dyDescent="0.2">
      <c r="B7" s="140" t="s">
        <v>135</v>
      </c>
      <c r="C7" s="149"/>
      <c r="E7" s="252" t="s">
        <v>49</v>
      </c>
      <c r="F7" s="168">
        <f>G117*2</f>
        <v>7</v>
      </c>
      <c r="G7" s="166">
        <f>F7</f>
        <v>7</v>
      </c>
      <c r="H7" s="123"/>
      <c r="I7" s="125">
        <f t="shared" si="0"/>
        <v>154</v>
      </c>
      <c r="J7" s="125">
        <v>190</v>
      </c>
      <c r="K7" s="125">
        <f t="shared" ref="K7:K13" si="2">F7*(126-14-7.5)</f>
        <v>731.5</v>
      </c>
      <c r="L7" s="125">
        <f>J7-I7</f>
        <v>36</v>
      </c>
      <c r="M7" s="125" t="s">
        <v>113</v>
      </c>
      <c r="N7" s="127"/>
    </row>
    <row r="8" spans="1:14" ht="16" customHeight="1" x14ac:dyDescent="0.2">
      <c r="E8" s="252" t="s">
        <v>50</v>
      </c>
      <c r="F8" s="168">
        <f>G118*2+G139*2</f>
        <v>9.8800000000000008</v>
      </c>
      <c r="G8" s="124" t="s">
        <v>87</v>
      </c>
      <c r="H8" s="123"/>
      <c r="I8" s="125">
        <f t="shared" si="0"/>
        <v>217.36</v>
      </c>
      <c r="J8" s="125">
        <v>750</v>
      </c>
      <c r="K8" s="125">
        <f t="shared" si="2"/>
        <v>1032.46</v>
      </c>
      <c r="L8" s="125">
        <f>J8-I8</f>
        <v>532.64</v>
      </c>
      <c r="M8" s="119"/>
      <c r="N8" s="126"/>
    </row>
    <row r="9" spans="1:14" ht="16" customHeight="1" x14ac:dyDescent="0.2">
      <c r="A9" s="151" t="s">
        <v>229</v>
      </c>
      <c r="B9" s="28"/>
      <c r="C9" s="28"/>
      <c r="E9" s="252" t="s">
        <v>51</v>
      </c>
      <c r="F9" s="168">
        <f>G119*2</f>
        <v>2.5</v>
      </c>
      <c r="G9" s="124" t="s">
        <v>87</v>
      </c>
      <c r="H9" s="123"/>
      <c r="I9" s="125">
        <f t="shared" si="0"/>
        <v>55</v>
      </c>
      <c r="J9" s="125">
        <v>70</v>
      </c>
      <c r="K9" s="125">
        <f t="shared" si="2"/>
        <v>261.25</v>
      </c>
      <c r="L9" s="125">
        <f t="shared" si="1"/>
        <v>15</v>
      </c>
      <c r="M9" s="125" t="s">
        <v>111</v>
      </c>
      <c r="N9" s="127"/>
    </row>
    <row r="10" spans="1:14" ht="16" customHeight="1" x14ac:dyDescent="0.2">
      <c r="E10" s="252" t="s">
        <v>53</v>
      </c>
      <c r="F10" s="168">
        <f>G129*2</f>
        <v>1</v>
      </c>
      <c r="G10" s="166">
        <f>F10</f>
        <v>1</v>
      </c>
      <c r="H10" s="123"/>
      <c r="I10" s="125">
        <f t="shared" si="0"/>
        <v>22</v>
      </c>
      <c r="J10" s="125">
        <v>30</v>
      </c>
      <c r="K10" s="125">
        <f t="shared" si="2"/>
        <v>104.5</v>
      </c>
      <c r="L10" s="125">
        <f t="shared" si="1"/>
        <v>8</v>
      </c>
      <c r="M10" s="125" t="s">
        <v>104</v>
      </c>
      <c r="N10" s="127"/>
    </row>
    <row r="11" spans="1:14" ht="16" customHeight="1" x14ac:dyDescent="0.2">
      <c r="B11" s="28" t="s">
        <v>175</v>
      </c>
      <c r="C11" s="28"/>
      <c r="E11" s="252" t="s">
        <v>56</v>
      </c>
      <c r="F11" s="168">
        <f>G130*2</f>
        <v>5</v>
      </c>
      <c r="G11" s="166">
        <f>F11</f>
        <v>5</v>
      </c>
      <c r="H11" s="123"/>
      <c r="I11" s="125">
        <f t="shared" si="0"/>
        <v>110</v>
      </c>
      <c r="J11" s="125">
        <v>730</v>
      </c>
      <c r="K11" s="125">
        <f t="shared" si="2"/>
        <v>522.5</v>
      </c>
      <c r="L11" s="125">
        <f>J11-I11</f>
        <v>620</v>
      </c>
      <c r="M11" s="125" t="s">
        <v>114</v>
      </c>
      <c r="N11" s="127"/>
    </row>
    <row r="12" spans="1:14" ht="16" customHeight="1" x14ac:dyDescent="0.2">
      <c r="E12" s="252" t="s">
        <v>55</v>
      </c>
      <c r="F12" s="168">
        <f>G131*2</f>
        <v>5</v>
      </c>
      <c r="G12" s="166">
        <f>F12</f>
        <v>5</v>
      </c>
      <c r="H12" s="123"/>
      <c r="I12" s="125">
        <f t="shared" si="0"/>
        <v>110</v>
      </c>
      <c r="J12" s="125">
        <v>130</v>
      </c>
      <c r="K12" s="125">
        <f>F12*(126-14-16)</f>
        <v>480</v>
      </c>
      <c r="L12" s="125">
        <f>J12-I12</f>
        <v>20</v>
      </c>
      <c r="M12" s="125" t="s">
        <v>94</v>
      </c>
      <c r="N12" s="127"/>
    </row>
    <row r="13" spans="1:14" ht="16" customHeight="1" x14ac:dyDescent="0.2">
      <c r="B13" s="28" t="s">
        <v>177</v>
      </c>
      <c r="C13" s="29"/>
      <c r="E13" s="252" t="s">
        <v>44</v>
      </c>
      <c r="F13" s="168">
        <f>G120*2</f>
        <v>1</v>
      </c>
      <c r="G13" s="166">
        <f>F13</f>
        <v>1</v>
      </c>
      <c r="H13" s="123"/>
      <c r="I13" s="125">
        <f>0.5+5.5+F13*(13.5+7.5)</f>
        <v>27</v>
      </c>
      <c r="J13" s="125">
        <v>300</v>
      </c>
      <c r="K13" s="125">
        <f t="shared" si="2"/>
        <v>104.5</v>
      </c>
      <c r="L13" s="125">
        <f t="shared" si="1"/>
        <v>273</v>
      </c>
      <c r="M13" s="125"/>
      <c r="N13" s="126"/>
    </row>
    <row r="14" spans="1:14" ht="16" customHeight="1" x14ac:dyDescent="0.2">
      <c r="B14" s="28"/>
      <c r="C14" s="29" t="s">
        <v>180</v>
      </c>
      <c r="E14" s="252" t="s">
        <v>71</v>
      </c>
      <c r="F14" s="168">
        <f>G145*2</f>
        <v>60</v>
      </c>
      <c r="G14" s="124" t="s">
        <v>87</v>
      </c>
      <c r="H14" s="128"/>
      <c r="I14" s="125">
        <f>F14*1+13</f>
        <v>73</v>
      </c>
      <c r="J14" s="119">
        <v>1600</v>
      </c>
      <c r="K14" s="125">
        <f>F14*(126-14)</f>
        <v>6720</v>
      </c>
      <c r="L14" s="125">
        <f t="shared" si="1"/>
        <v>1527</v>
      </c>
      <c r="M14" s="125"/>
      <c r="N14" s="120"/>
    </row>
    <row r="15" spans="1:14" ht="16" customHeight="1" x14ac:dyDescent="0.2">
      <c r="E15" s="253" t="s">
        <v>70</v>
      </c>
      <c r="F15" s="169">
        <f>G146*2</f>
        <v>1340</v>
      </c>
      <c r="G15" s="124" t="s">
        <v>87</v>
      </c>
      <c r="H15" s="128"/>
      <c r="I15" s="119">
        <f>F15*(6.5+1+13+7.5)</f>
        <v>37520</v>
      </c>
      <c r="J15" s="119">
        <v>36000</v>
      </c>
      <c r="K15" s="125">
        <f>F15*(126-14-7.5)</f>
        <v>140030</v>
      </c>
      <c r="L15" s="125">
        <v>4500</v>
      </c>
      <c r="M15" s="119"/>
      <c r="N15" s="120"/>
    </row>
    <row r="16" spans="1:14" ht="16" customHeight="1" thickBot="1" x14ac:dyDescent="0.25">
      <c r="B16" s="28" t="s">
        <v>178</v>
      </c>
      <c r="C16" s="28"/>
      <c r="E16" s="253" t="s">
        <v>72</v>
      </c>
      <c r="F16" s="169">
        <f>G138*2</f>
        <v>222</v>
      </c>
      <c r="G16" s="124" t="s">
        <v>87</v>
      </c>
      <c r="H16" s="128"/>
      <c r="I16" s="119">
        <f>F16*(6.5+1+13)</f>
        <v>4551</v>
      </c>
      <c r="J16" s="119">
        <v>60000</v>
      </c>
      <c r="K16" s="125">
        <f>F16*(126-14)</f>
        <v>24864</v>
      </c>
      <c r="L16" s="125">
        <f t="shared" si="1"/>
        <v>55449</v>
      </c>
      <c r="M16" s="125"/>
      <c r="N16" s="120"/>
    </row>
    <row r="17" spans="1:14" ht="16" customHeight="1" thickBot="1" x14ac:dyDescent="0.25">
      <c r="B17" s="28"/>
      <c r="C17" s="28" t="s">
        <v>183</v>
      </c>
      <c r="E17" s="254" t="s">
        <v>107</v>
      </c>
      <c r="F17" s="167"/>
      <c r="G17" s="167"/>
      <c r="H17" s="118"/>
      <c r="I17" s="121"/>
      <c r="J17" s="121"/>
      <c r="K17" s="121"/>
      <c r="L17" s="121"/>
      <c r="M17" s="121"/>
      <c r="N17" s="122"/>
    </row>
    <row r="18" spans="1:14" ht="16" customHeight="1" x14ac:dyDescent="0.2">
      <c r="B18" s="28"/>
      <c r="C18" s="29" t="s">
        <v>179</v>
      </c>
      <c r="E18" s="253" t="s">
        <v>102</v>
      </c>
      <c r="F18" s="169">
        <f>G147*2</f>
        <v>60</v>
      </c>
      <c r="G18" s="124" t="s">
        <v>87</v>
      </c>
      <c r="H18" s="128"/>
      <c r="I18" s="119">
        <f>F18*13</f>
        <v>780</v>
      </c>
      <c r="J18" s="119" t="s">
        <v>85</v>
      </c>
      <c r="K18" s="125">
        <f>F18*(126-13)</f>
        <v>6780</v>
      </c>
      <c r="L18" s="119" t="s">
        <v>85</v>
      </c>
      <c r="M18" s="119"/>
      <c r="N18" s="120"/>
    </row>
    <row r="19" spans="1:14" ht="16" customHeight="1" x14ac:dyDescent="0.2">
      <c r="E19" s="252" t="s">
        <v>64</v>
      </c>
      <c r="F19" s="168">
        <f>G152+G163</f>
        <v>50</v>
      </c>
      <c r="G19" s="168">
        <f>F19</f>
        <v>50</v>
      </c>
      <c r="H19" s="123"/>
      <c r="I19" s="125">
        <f>F19*(14)</f>
        <v>700</v>
      </c>
      <c r="J19" s="125">
        <f>6250</f>
        <v>6250</v>
      </c>
      <c r="K19" s="125">
        <f>F19*(126-1-13)</f>
        <v>5600</v>
      </c>
      <c r="L19" s="125">
        <f>J19-I19</f>
        <v>5550</v>
      </c>
      <c r="M19" s="125"/>
      <c r="N19" s="126"/>
    </row>
    <row r="20" spans="1:14" ht="16" customHeight="1" x14ac:dyDescent="0.2">
      <c r="B20" s="28" t="s">
        <v>176</v>
      </c>
      <c r="C20" s="28"/>
      <c r="E20" s="252" t="s">
        <v>76</v>
      </c>
      <c r="F20" s="168">
        <f>G164</f>
        <v>1</v>
      </c>
      <c r="G20" s="168">
        <f t="shared" ref="G20:G23" si="3">F20</f>
        <v>1</v>
      </c>
      <c r="H20" s="123"/>
      <c r="I20" s="125">
        <f>F20*(14+1+14)</f>
        <v>29</v>
      </c>
      <c r="J20" s="119" t="s">
        <v>86</v>
      </c>
      <c r="K20" s="125">
        <f>F20*(126-1-13)</f>
        <v>112</v>
      </c>
      <c r="L20" s="119" t="s">
        <v>86</v>
      </c>
      <c r="M20" s="119"/>
      <c r="N20" s="126"/>
    </row>
    <row r="21" spans="1:14" ht="16" customHeight="1" x14ac:dyDescent="0.2">
      <c r="E21" s="252" t="s">
        <v>23</v>
      </c>
      <c r="F21" s="166">
        <f>G153</f>
        <v>1.5</v>
      </c>
      <c r="G21" s="168">
        <f t="shared" si="3"/>
        <v>1.5</v>
      </c>
      <c r="H21" s="123"/>
      <c r="I21" s="125">
        <f>F21*(13)</f>
        <v>19.5</v>
      </c>
      <c r="J21" s="119" t="s">
        <v>86</v>
      </c>
      <c r="K21" s="125">
        <f>F21*(126-1-13)</f>
        <v>168</v>
      </c>
      <c r="L21" s="119" t="s">
        <v>86</v>
      </c>
      <c r="M21" s="119"/>
      <c r="N21" s="126"/>
    </row>
    <row r="22" spans="1:14" ht="16" customHeight="1" x14ac:dyDescent="0.2">
      <c r="A22" s="152" t="s">
        <v>228</v>
      </c>
      <c r="B22" s="24"/>
      <c r="C22" s="24"/>
      <c r="E22" s="252" t="s">
        <v>25</v>
      </c>
      <c r="F22" s="166">
        <f>G154</f>
        <v>1.5</v>
      </c>
      <c r="G22" s="168">
        <f t="shared" si="3"/>
        <v>1.5</v>
      </c>
      <c r="H22" s="123"/>
      <c r="I22" s="125">
        <f>F22*(13)</f>
        <v>19.5</v>
      </c>
      <c r="J22" s="119" t="s">
        <v>86</v>
      </c>
      <c r="K22" s="125">
        <f>F22*(126-1-13)</f>
        <v>168</v>
      </c>
      <c r="L22" s="119" t="s">
        <v>86</v>
      </c>
      <c r="M22" s="119"/>
      <c r="N22" s="126"/>
    </row>
    <row r="23" spans="1:14" ht="16" customHeight="1" x14ac:dyDescent="0.2">
      <c r="E23" s="252" t="s">
        <v>82</v>
      </c>
      <c r="F23" s="166">
        <f>G168</f>
        <v>1</v>
      </c>
      <c r="G23" s="168">
        <f t="shared" si="3"/>
        <v>1</v>
      </c>
      <c r="H23" s="123"/>
      <c r="I23" s="125">
        <v>1</v>
      </c>
      <c r="J23" s="119" t="s">
        <v>86</v>
      </c>
      <c r="K23" s="125">
        <v>1</v>
      </c>
      <c r="L23" s="119" t="s">
        <v>86</v>
      </c>
      <c r="M23" s="125"/>
      <c r="N23" s="126"/>
    </row>
    <row r="24" spans="1:14" ht="16" customHeight="1" x14ac:dyDescent="0.2">
      <c r="B24" s="24" t="s">
        <v>189</v>
      </c>
      <c r="C24" s="24"/>
      <c r="E24" s="253" t="s">
        <v>79</v>
      </c>
      <c r="F24" s="124">
        <f>G170*2</f>
        <v>0</v>
      </c>
      <c r="G24" s="169">
        <f>F24</f>
        <v>0</v>
      </c>
      <c r="H24" s="128"/>
      <c r="I24" s="119">
        <f>F24*(13)</f>
        <v>0</v>
      </c>
      <c r="J24" s="119" t="s">
        <v>86</v>
      </c>
      <c r="K24" s="125">
        <f>F24*(126-14)</f>
        <v>0</v>
      </c>
      <c r="L24" s="125">
        <v>600</v>
      </c>
      <c r="M24" s="125"/>
      <c r="N24" s="120"/>
    </row>
    <row r="25" spans="1:14" ht="16" customHeight="1" x14ac:dyDescent="0.2">
      <c r="B25" s="24"/>
      <c r="C25" s="24" t="s">
        <v>182</v>
      </c>
      <c r="E25" s="253" t="s">
        <v>80</v>
      </c>
      <c r="F25" s="124">
        <f>G171*2</f>
        <v>0</v>
      </c>
      <c r="G25" s="169">
        <f>F25</f>
        <v>0</v>
      </c>
      <c r="H25" s="128"/>
      <c r="I25" s="119">
        <f>F25*13</f>
        <v>0</v>
      </c>
      <c r="J25" s="119">
        <v>59125</v>
      </c>
      <c r="K25" s="125">
        <f>F25*(126-14)</f>
        <v>0</v>
      </c>
      <c r="L25" s="125">
        <f>J25-I25</f>
        <v>59125</v>
      </c>
      <c r="M25" s="125"/>
      <c r="N25" s="120"/>
    </row>
    <row r="26" spans="1:14" ht="16" customHeight="1" x14ac:dyDescent="0.2">
      <c r="B26" s="24"/>
      <c r="C26" s="24" t="s">
        <v>223</v>
      </c>
      <c r="E26" s="253" t="s">
        <v>81</v>
      </c>
      <c r="F26" s="124">
        <f>G172*2</f>
        <v>0</v>
      </c>
      <c r="G26" s="169">
        <f>F26</f>
        <v>0</v>
      </c>
      <c r="H26" s="128"/>
      <c r="I26" s="119">
        <f>G26*13</f>
        <v>0</v>
      </c>
      <c r="J26" s="119" t="s">
        <v>88</v>
      </c>
      <c r="K26" s="125">
        <f>F26*(126-14)</f>
        <v>0</v>
      </c>
      <c r="L26" s="119" t="s">
        <v>88</v>
      </c>
      <c r="M26" s="125"/>
      <c r="N26" s="120"/>
    </row>
    <row r="27" spans="1:14" ht="16" customHeight="1" thickBot="1" x14ac:dyDescent="0.25">
      <c r="B27" s="24"/>
      <c r="C27" s="24" t="s">
        <v>224</v>
      </c>
      <c r="E27" s="255" t="s">
        <v>13</v>
      </c>
      <c r="F27" s="170">
        <f>G121*2+G140*2+G155+G173+G165+G173+3</f>
        <v>907.12</v>
      </c>
      <c r="G27" s="170">
        <f>F27</f>
        <v>907.12</v>
      </c>
      <c r="H27" s="129"/>
      <c r="I27" s="130">
        <f>F27*14</f>
        <v>12699.68</v>
      </c>
      <c r="J27" s="130" t="s">
        <v>85</v>
      </c>
      <c r="K27" s="130">
        <f>F27*(126-14)</f>
        <v>101597.44</v>
      </c>
      <c r="L27" s="130" t="s">
        <v>85</v>
      </c>
      <c r="M27" s="130"/>
      <c r="N27" s="131"/>
    </row>
    <row r="28" spans="1:14" ht="16" customHeight="1" thickBot="1" x14ac:dyDescent="0.25">
      <c r="B28" s="24"/>
      <c r="C28" s="24" t="s">
        <v>225</v>
      </c>
      <c r="E28" s="254" t="s">
        <v>108</v>
      </c>
      <c r="F28" s="167"/>
      <c r="G28" s="167"/>
      <c r="H28" s="118"/>
      <c r="I28" s="121"/>
      <c r="J28" s="121"/>
      <c r="K28" s="121"/>
      <c r="L28" s="121"/>
      <c r="M28" s="121"/>
      <c r="N28" s="122"/>
    </row>
    <row r="29" spans="1:14" ht="16" customHeight="1" x14ac:dyDescent="0.2">
      <c r="B29" s="24"/>
      <c r="C29" s="24" t="s">
        <v>181</v>
      </c>
      <c r="E29" s="256" t="s">
        <v>90</v>
      </c>
      <c r="F29" s="124" t="s">
        <v>87</v>
      </c>
      <c r="G29" s="171">
        <f>F6*(19.46/20)</f>
        <v>18.000500000000002</v>
      </c>
      <c r="H29" s="123"/>
      <c r="I29" s="125">
        <v>0</v>
      </c>
      <c r="J29" s="125">
        <v>1000000</v>
      </c>
      <c r="K29" s="125">
        <f>G29*(126-14)</f>
        <v>2016.0560000000003</v>
      </c>
      <c r="L29" s="125">
        <f>J29-I29</f>
        <v>1000000</v>
      </c>
      <c r="M29" s="125"/>
      <c r="N29" s="126"/>
    </row>
    <row r="30" spans="1:14" ht="16" customHeight="1" x14ac:dyDescent="0.2">
      <c r="A30" s="15"/>
      <c r="B30" s="15"/>
      <c r="C30" s="15"/>
      <c r="E30" s="256" t="s">
        <v>109</v>
      </c>
      <c r="F30" s="124" t="s">
        <v>87</v>
      </c>
      <c r="G30" s="172">
        <f>F8+F16*0.001</f>
        <v>10.102</v>
      </c>
      <c r="H30" s="123"/>
      <c r="I30" s="125">
        <v>0</v>
      </c>
      <c r="J30" s="125" t="s">
        <v>88</v>
      </c>
      <c r="K30" s="125">
        <f>G30*(126-14)</f>
        <v>1131.424</v>
      </c>
      <c r="L30" s="125" t="s">
        <v>88</v>
      </c>
      <c r="M30" s="119"/>
      <c r="N30" s="126"/>
    </row>
    <row r="31" spans="1:14" ht="16" customHeight="1" x14ac:dyDescent="0.2">
      <c r="B31" s="20" t="s">
        <v>196</v>
      </c>
      <c r="C31" s="20"/>
      <c r="E31" s="256" t="s">
        <v>100</v>
      </c>
      <c r="F31" s="124" t="s">
        <v>87</v>
      </c>
      <c r="G31" s="172">
        <f>F6*(1-19.46/20)+F15/500+F16/500</f>
        <v>3.6234999999999986</v>
      </c>
      <c r="H31" s="123"/>
      <c r="I31" s="125">
        <v>0</v>
      </c>
      <c r="J31" s="119" t="s">
        <v>85</v>
      </c>
      <c r="K31" s="125">
        <f>G31*(126-14)</f>
        <v>405.83199999999982</v>
      </c>
      <c r="L31" s="119" t="s">
        <v>85</v>
      </c>
      <c r="M31" s="125"/>
      <c r="N31" s="126"/>
    </row>
    <row r="32" spans="1:14" ht="16" customHeight="1" x14ac:dyDescent="0.2">
      <c r="B32" s="20"/>
      <c r="C32" s="20" t="s">
        <v>172</v>
      </c>
      <c r="E32" s="256" t="s">
        <v>83</v>
      </c>
      <c r="F32" s="124" t="s">
        <v>87</v>
      </c>
      <c r="G32" s="172">
        <f>F9</f>
        <v>2.5</v>
      </c>
      <c r="H32" s="123"/>
      <c r="I32" s="125" t="s">
        <v>86</v>
      </c>
      <c r="J32" s="125">
        <v>125</v>
      </c>
      <c r="K32" s="125">
        <f>G32*(126-14)</f>
        <v>280</v>
      </c>
      <c r="L32" s="125" t="s">
        <v>96</v>
      </c>
      <c r="M32" s="125" t="s">
        <v>110</v>
      </c>
      <c r="N32" s="127"/>
    </row>
    <row r="33" spans="2:14" ht="16" customHeight="1" x14ac:dyDescent="0.2">
      <c r="B33" s="20"/>
      <c r="C33" s="20" t="s">
        <v>245</v>
      </c>
      <c r="E33" s="256" t="s">
        <v>93</v>
      </c>
      <c r="F33" s="124" t="s">
        <v>87</v>
      </c>
      <c r="G33" s="166">
        <f>F14</f>
        <v>60</v>
      </c>
      <c r="H33" s="128"/>
      <c r="I33" s="119" t="s">
        <v>86</v>
      </c>
      <c r="J33" s="119">
        <v>10000</v>
      </c>
      <c r="K33" s="125">
        <f>K14</f>
        <v>6720</v>
      </c>
      <c r="L33" s="119" t="s">
        <v>86</v>
      </c>
      <c r="M33" s="119" t="s">
        <v>95</v>
      </c>
      <c r="N33" s="120"/>
    </row>
    <row r="34" spans="2:14" ht="16" customHeight="1" x14ac:dyDescent="0.2">
      <c r="B34" s="20"/>
      <c r="C34" s="20" t="s">
        <v>162</v>
      </c>
      <c r="E34" s="257" t="s">
        <v>91</v>
      </c>
      <c r="F34" s="124" t="s">
        <v>87</v>
      </c>
      <c r="G34" s="124">
        <f>F16*0.005</f>
        <v>1.1100000000000001</v>
      </c>
      <c r="H34" s="128"/>
      <c r="I34" s="119">
        <v>0</v>
      </c>
      <c r="J34" s="119">
        <v>500000</v>
      </c>
      <c r="K34" s="125">
        <f>G34*126-I34</f>
        <v>139.86000000000001</v>
      </c>
      <c r="L34" s="125">
        <f>J34-I34</f>
        <v>500000</v>
      </c>
      <c r="M34" s="125"/>
      <c r="N34" s="120"/>
    </row>
    <row r="35" spans="2:14" ht="16" customHeight="1" x14ac:dyDescent="0.2">
      <c r="B35" s="20"/>
      <c r="C35" s="20" t="s">
        <v>163</v>
      </c>
      <c r="E35" s="257" t="s">
        <v>92</v>
      </c>
      <c r="F35" s="124" t="s">
        <v>87</v>
      </c>
      <c r="G35" s="124" t="s">
        <v>112</v>
      </c>
      <c r="H35" s="128"/>
      <c r="I35" s="119">
        <v>0</v>
      </c>
      <c r="J35" s="119" t="s">
        <v>88</v>
      </c>
      <c r="K35" s="125" t="s">
        <v>86</v>
      </c>
      <c r="L35" s="119" t="s">
        <v>88</v>
      </c>
      <c r="M35" s="119"/>
      <c r="N35" s="120"/>
    </row>
    <row r="36" spans="2:14" ht="16" customHeight="1" x14ac:dyDescent="0.2">
      <c r="B36" s="20"/>
      <c r="C36" s="20" t="s">
        <v>138</v>
      </c>
      <c r="E36" s="257" t="s">
        <v>101</v>
      </c>
      <c r="F36" s="124" t="s">
        <v>87</v>
      </c>
      <c r="G36" s="124">
        <f>0.01*(F15+F18)</f>
        <v>14</v>
      </c>
      <c r="H36" s="128"/>
      <c r="I36" s="119">
        <v>0</v>
      </c>
      <c r="J36" s="119" t="s">
        <v>85</v>
      </c>
      <c r="K36" s="125">
        <f>G36*126-I36</f>
        <v>1764</v>
      </c>
      <c r="L36" s="119" t="s">
        <v>85</v>
      </c>
      <c r="M36" s="125"/>
      <c r="N36" s="120"/>
    </row>
    <row r="37" spans="2:14" ht="16" customHeight="1" x14ac:dyDescent="0.2">
      <c r="B37" s="20"/>
      <c r="C37" s="20" t="s">
        <v>142</v>
      </c>
      <c r="E37" s="258" t="s">
        <v>84</v>
      </c>
      <c r="F37" s="132" t="s">
        <v>87</v>
      </c>
      <c r="G37" s="132">
        <f>F18*0.005</f>
        <v>0.3</v>
      </c>
      <c r="H37" s="133"/>
      <c r="I37" s="134">
        <v>0</v>
      </c>
      <c r="J37" s="134" t="s">
        <v>85</v>
      </c>
      <c r="K37" s="130">
        <f>G37*126-I37</f>
        <v>37.799999999999997</v>
      </c>
      <c r="L37" s="134" t="s">
        <v>85</v>
      </c>
      <c r="M37" s="130" t="s">
        <v>103</v>
      </c>
      <c r="N37" s="135"/>
    </row>
    <row r="38" spans="2:14" ht="16" customHeight="1" x14ac:dyDescent="0.2">
      <c r="B38" s="20"/>
      <c r="C38" s="20" t="s">
        <v>141</v>
      </c>
      <c r="E38" s="259" t="s">
        <v>216</v>
      </c>
    </row>
    <row r="39" spans="2:14" ht="16" customHeight="1" x14ac:dyDescent="0.2">
      <c r="B39" s="20"/>
      <c r="C39" s="20" t="s">
        <v>143</v>
      </c>
      <c r="F39" s="173"/>
      <c r="H39" s="15"/>
      <c r="I39" s="16"/>
      <c r="J39" s="16"/>
      <c r="K39" s="16"/>
      <c r="L39" s="16"/>
      <c r="M39" s="16"/>
    </row>
    <row r="40" spans="2:14" ht="16" customHeight="1" thickBot="1" x14ac:dyDescent="0.25">
      <c r="B40" s="20"/>
      <c r="C40" s="20" t="s">
        <v>139</v>
      </c>
      <c r="E40" s="260" t="s">
        <v>14</v>
      </c>
      <c r="F40" s="94"/>
      <c r="G40" s="174" t="s">
        <v>1</v>
      </c>
      <c r="H40" s="15"/>
      <c r="I40" s="16"/>
      <c r="J40" s="16"/>
      <c r="K40" s="16"/>
      <c r="L40" s="16"/>
      <c r="M40" s="16"/>
    </row>
    <row r="41" spans="2:14" ht="16" customHeight="1" x14ac:dyDescent="0.2">
      <c r="B41" s="20"/>
      <c r="C41" s="20" t="s">
        <v>140</v>
      </c>
      <c r="E41" s="261" t="s">
        <v>79</v>
      </c>
      <c r="F41" s="62"/>
      <c r="G41" s="175">
        <v>50</v>
      </c>
      <c r="H41" s="15"/>
      <c r="I41" s="16"/>
      <c r="J41" s="16"/>
      <c r="K41" s="16"/>
      <c r="L41" s="16"/>
      <c r="M41" s="16"/>
    </row>
    <row r="42" spans="2:14" ht="16" customHeight="1" x14ac:dyDescent="0.2">
      <c r="B42" s="20"/>
      <c r="C42" s="284" t="s">
        <v>187</v>
      </c>
      <c r="E42" s="261" t="s">
        <v>80</v>
      </c>
      <c r="F42" s="62"/>
      <c r="G42" s="176">
        <v>25</v>
      </c>
      <c r="H42" s="15"/>
      <c r="I42" s="16"/>
      <c r="J42" s="16"/>
      <c r="K42" s="16"/>
      <c r="L42" s="16"/>
      <c r="M42" s="16"/>
    </row>
    <row r="43" spans="2:14" ht="16" customHeight="1" x14ac:dyDescent="0.2">
      <c r="B43" s="20"/>
      <c r="C43" s="22" t="s">
        <v>164</v>
      </c>
      <c r="E43" s="261" t="s">
        <v>81</v>
      </c>
      <c r="F43" s="62"/>
      <c r="G43" s="175">
        <v>372</v>
      </c>
      <c r="H43" s="15"/>
      <c r="I43" s="16"/>
      <c r="J43" s="16"/>
      <c r="K43" s="16"/>
      <c r="L43" s="16"/>
      <c r="M43" s="16"/>
    </row>
    <row r="44" spans="2:14" ht="16" customHeight="1" x14ac:dyDescent="0.2">
      <c r="E44" s="262" t="s">
        <v>214</v>
      </c>
      <c r="F44" s="63"/>
      <c r="G44" s="177">
        <v>20</v>
      </c>
      <c r="H44" s="15"/>
      <c r="I44" s="16"/>
      <c r="J44" s="16"/>
      <c r="K44" s="16"/>
      <c r="L44" s="16"/>
      <c r="M44" s="16"/>
    </row>
    <row r="45" spans="2:14" ht="16" customHeight="1" x14ac:dyDescent="0.2">
      <c r="B45" s="24" t="s">
        <v>199</v>
      </c>
      <c r="C45" s="24"/>
      <c r="F45" s="173"/>
      <c r="H45" s="15"/>
      <c r="I45" s="16"/>
      <c r="J45" s="16"/>
      <c r="K45" s="16"/>
      <c r="L45" s="16"/>
      <c r="M45" s="16"/>
    </row>
    <row r="46" spans="2:14" ht="16" customHeight="1" thickBot="1" x14ac:dyDescent="0.25">
      <c r="B46" s="24"/>
      <c r="C46" s="24" t="s">
        <v>145</v>
      </c>
      <c r="E46" s="263" t="s">
        <v>27</v>
      </c>
      <c r="F46" s="33"/>
      <c r="G46" s="178" t="s">
        <v>45</v>
      </c>
      <c r="H46" s="34"/>
      <c r="I46" s="33"/>
      <c r="J46" s="33"/>
      <c r="K46" s="33"/>
      <c r="L46" s="33"/>
      <c r="M46" s="35"/>
      <c r="N46" s="10"/>
    </row>
    <row r="47" spans="2:14" ht="16" customHeight="1" x14ac:dyDescent="0.2">
      <c r="B47" s="24"/>
      <c r="C47" s="24" t="s">
        <v>147</v>
      </c>
      <c r="E47" s="327" t="s">
        <v>0</v>
      </c>
      <c r="F47" s="222" t="s">
        <v>3</v>
      </c>
      <c r="G47" s="179" t="s">
        <v>1</v>
      </c>
      <c r="H47" s="329" t="s">
        <v>59</v>
      </c>
      <c r="I47" s="323">
        <f>I$1+1</f>
        <v>13</v>
      </c>
      <c r="J47" s="323">
        <f>J$1+1</f>
        <v>17</v>
      </c>
      <c r="K47" s="323">
        <f>K$1+1</f>
        <v>33</v>
      </c>
      <c r="L47" s="323">
        <f>L$1+1</f>
        <v>65</v>
      </c>
      <c r="M47" s="325" t="e">
        <f>M$1+1</f>
        <v>#VALUE!</v>
      </c>
      <c r="N47" s="10"/>
    </row>
    <row r="48" spans="2:14" ht="16" customHeight="1" thickBot="1" x14ac:dyDescent="0.25">
      <c r="B48" s="24"/>
      <c r="C48" s="24" t="s">
        <v>151</v>
      </c>
      <c r="E48" s="328"/>
      <c r="F48" s="223" t="s">
        <v>4</v>
      </c>
      <c r="G48" s="180" t="s">
        <v>2</v>
      </c>
      <c r="H48" s="330"/>
      <c r="I48" s="324"/>
      <c r="J48" s="324"/>
      <c r="K48" s="324"/>
      <c r="L48" s="324"/>
      <c r="M48" s="326"/>
      <c r="N48" s="10"/>
    </row>
    <row r="49" spans="2:14" ht="16" customHeight="1" x14ac:dyDescent="0.2">
      <c r="B49" s="24"/>
      <c r="C49" s="24" t="s">
        <v>242</v>
      </c>
      <c r="E49" s="264" t="s">
        <v>60</v>
      </c>
      <c r="F49" s="224" t="s">
        <v>61</v>
      </c>
      <c r="G49" s="181">
        <v>2</v>
      </c>
      <c r="H49" s="37"/>
      <c r="I49" s="36">
        <f t="shared" ref="I49:K55" si="4">$G49*I$47</f>
        <v>26</v>
      </c>
      <c r="J49" s="36">
        <f t="shared" si="4"/>
        <v>34</v>
      </c>
      <c r="K49" s="36">
        <f t="shared" si="4"/>
        <v>66</v>
      </c>
      <c r="L49" s="36">
        <f t="shared" ref="L49:M55" si="5">$G49*L$47</f>
        <v>130</v>
      </c>
      <c r="M49" s="38" t="e">
        <f t="shared" si="5"/>
        <v>#VALUE!</v>
      </c>
      <c r="N49" s="10"/>
    </row>
    <row r="50" spans="2:14" ht="16" customHeight="1" x14ac:dyDescent="0.2">
      <c r="B50" s="24"/>
      <c r="C50" s="24" t="s">
        <v>137</v>
      </c>
      <c r="E50" s="264" t="s">
        <v>5</v>
      </c>
      <c r="F50" s="224" t="s">
        <v>6</v>
      </c>
      <c r="G50" s="181">
        <v>0.08</v>
      </c>
      <c r="H50" s="37"/>
      <c r="I50" s="36">
        <f>$G50*I$47</f>
        <v>1.04</v>
      </c>
      <c r="J50" s="36">
        <f t="shared" si="4"/>
        <v>1.36</v>
      </c>
      <c r="K50" s="36">
        <f t="shared" si="4"/>
        <v>2.64</v>
      </c>
      <c r="L50" s="36">
        <f t="shared" si="5"/>
        <v>5.2</v>
      </c>
      <c r="M50" s="38" t="e">
        <f t="shared" si="5"/>
        <v>#VALUE!</v>
      </c>
      <c r="N50" s="10"/>
    </row>
    <row r="51" spans="2:14" ht="16" customHeight="1" x14ac:dyDescent="0.2">
      <c r="E51" s="264" t="s">
        <v>7</v>
      </c>
      <c r="F51" s="224" t="s">
        <v>8</v>
      </c>
      <c r="G51" s="181">
        <v>0.2</v>
      </c>
      <c r="H51" s="37"/>
      <c r="I51" s="36">
        <f t="shared" si="4"/>
        <v>2.6</v>
      </c>
      <c r="J51" s="36">
        <f t="shared" si="4"/>
        <v>3.4000000000000004</v>
      </c>
      <c r="K51" s="36">
        <f t="shared" si="4"/>
        <v>6.6000000000000005</v>
      </c>
      <c r="L51" s="36">
        <f t="shared" si="5"/>
        <v>13</v>
      </c>
      <c r="M51" s="38" t="e">
        <f t="shared" si="5"/>
        <v>#VALUE!</v>
      </c>
      <c r="N51" s="10"/>
    </row>
    <row r="52" spans="2:14" ht="16" customHeight="1" x14ac:dyDescent="0.2">
      <c r="B52" s="20" t="s">
        <v>165</v>
      </c>
      <c r="C52" s="20"/>
      <c r="E52" s="264" t="s">
        <v>9</v>
      </c>
      <c r="F52" s="224" t="s">
        <v>10</v>
      </c>
      <c r="G52" s="181">
        <v>1</v>
      </c>
      <c r="H52" s="37"/>
      <c r="I52" s="36">
        <f t="shared" si="4"/>
        <v>13</v>
      </c>
      <c r="J52" s="36">
        <f t="shared" si="4"/>
        <v>17</v>
      </c>
      <c r="K52" s="36">
        <f t="shared" si="4"/>
        <v>33</v>
      </c>
      <c r="L52" s="36">
        <f t="shared" si="5"/>
        <v>65</v>
      </c>
      <c r="M52" s="38" t="e">
        <f t="shared" si="5"/>
        <v>#VALUE!</v>
      </c>
      <c r="N52" s="10"/>
    </row>
    <row r="53" spans="2:14" ht="16" customHeight="1" x14ac:dyDescent="0.2">
      <c r="E53" s="264" t="s">
        <v>11</v>
      </c>
      <c r="F53" s="224" t="s">
        <v>12</v>
      </c>
      <c r="G53" s="181">
        <v>0.4</v>
      </c>
      <c r="H53" s="37"/>
      <c r="I53" s="36">
        <f t="shared" si="4"/>
        <v>5.2</v>
      </c>
      <c r="J53" s="36">
        <f t="shared" si="4"/>
        <v>6.8000000000000007</v>
      </c>
      <c r="K53" s="36">
        <f t="shared" si="4"/>
        <v>13.200000000000001</v>
      </c>
      <c r="L53" s="36">
        <f t="shared" si="5"/>
        <v>26</v>
      </c>
      <c r="M53" s="38" t="e">
        <f t="shared" si="5"/>
        <v>#VALUE!</v>
      </c>
      <c r="N53" s="10"/>
    </row>
    <row r="54" spans="2:14" ht="16" customHeight="1" x14ac:dyDescent="0.2">
      <c r="B54" s="24" t="s">
        <v>198</v>
      </c>
      <c r="C54" s="24"/>
      <c r="E54" s="265" t="s">
        <v>13</v>
      </c>
      <c r="F54" s="225"/>
      <c r="G54" s="182">
        <f>G55-SUM(G49:G53)</f>
        <v>16.32</v>
      </c>
      <c r="H54" s="31"/>
      <c r="I54" s="32">
        <f>$G54*I$47</f>
        <v>212.16</v>
      </c>
      <c r="J54" s="32">
        <f>$G54*J$47</f>
        <v>277.44</v>
      </c>
      <c r="K54" s="32">
        <f t="shared" si="4"/>
        <v>538.56000000000006</v>
      </c>
      <c r="L54" s="32">
        <f t="shared" si="5"/>
        <v>1060.8</v>
      </c>
      <c r="M54" s="39" t="e">
        <f t="shared" si="5"/>
        <v>#VALUE!</v>
      </c>
      <c r="N54" s="10"/>
    </row>
    <row r="55" spans="2:14" ht="16" customHeight="1" x14ac:dyDescent="0.2">
      <c r="B55" s="24"/>
      <c r="C55" s="24" t="s">
        <v>145</v>
      </c>
      <c r="E55" s="266" t="s">
        <v>26</v>
      </c>
      <c r="F55" s="226"/>
      <c r="G55" s="183">
        <v>20</v>
      </c>
      <c r="H55" s="41"/>
      <c r="I55" s="40">
        <f>$G55*I$47</f>
        <v>260</v>
      </c>
      <c r="J55" s="40">
        <f>$G55*J$47</f>
        <v>340</v>
      </c>
      <c r="K55" s="40">
        <f t="shared" si="4"/>
        <v>660</v>
      </c>
      <c r="L55" s="40">
        <f t="shared" si="5"/>
        <v>1300</v>
      </c>
      <c r="M55" s="42" t="e">
        <f t="shared" si="5"/>
        <v>#VALUE!</v>
      </c>
    </row>
    <row r="56" spans="2:14" ht="16" customHeight="1" x14ac:dyDescent="0.2">
      <c r="B56" s="24"/>
      <c r="C56" s="24" t="s">
        <v>146</v>
      </c>
      <c r="E56" s="114" t="s">
        <v>212</v>
      </c>
      <c r="F56" s="227"/>
      <c r="G56" s="114"/>
      <c r="H56" s="18"/>
      <c r="I56" s="19"/>
      <c r="J56" s="19"/>
      <c r="K56" s="19"/>
      <c r="L56" s="19"/>
      <c r="M56" s="19"/>
    </row>
    <row r="57" spans="2:14" ht="16" customHeight="1" x14ac:dyDescent="0.2">
      <c r="B57" s="24"/>
      <c r="C57" s="24" t="s">
        <v>148</v>
      </c>
      <c r="E57" s="184"/>
      <c r="F57" s="16"/>
      <c r="G57" s="184"/>
      <c r="H57" s="15"/>
      <c r="I57" s="16"/>
      <c r="J57" s="16"/>
      <c r="K57" s="16"/>
      <c r="L57" s="16"/>
      <c r="M57" s="16"/>
    </row>
    <row r="58" spans="2:14" ht="16" customHeight="1" thickBot="1" x14ac:dyDescent="0.25">
      <c r="B58" s="24"/>
      <c r="C58" s="24" t="s">
        <v>154</v>
      </c>
      <c r="E58" s="263" t="s">
        <v>28</v>
      </c>
      <c r="F58" s="33"/>
      <c r="G58" s="178" t="s">
        <v>45</v>
      </c>
      <c r="H58" s="34"/>
      <c r="I58" s="33"/>
      <c r="J58" s="33"/>
      <c r="K58" s="33"/>
      <c r="L58" s="33"/>
      <c r="M58" s="35"/>
    </row>
    <row r="59" spans="2:14" ht="16" customHeight="1" x14ac:dyDescent="0.2">
      <c r="B59" s="24"/>
      <c r="C59" s="24" t="s">
        <v>149</v>
      </c>
      <c r="E59" s="327" t="s">
        <v>0</v>
      </c>
      <c r="F59" s="222" t="s">
        <v>3</v>
      </c>
      <c r="G59" s="179" t="s">
        <v>1</v>
      </c>
      <c r="H59" s="329" t="s">
        <v>59</v>
      </c>
      <c r="I59" s="323">
        <f>I$1+1</f>
        <v>13</v>
      </c>
      <c r="J59" s="323">
        <f>J$1+1</f>
        <v>17</v>
      </c>
      <c r="K59" s="323">
        <f>K$1+1</f>
        <v>33</v>
      </c>
      <c r="L59" s="323">
        <f>L$1+1</f>
        <v>65</v>
      </c>
      <c r="M59" s="325" t="e">
        <f>M$1+1</f>
        <v>#VALUE!</v>
      </c>
    </row>
    <row r="60" spans="2:14" ht="16" customHeight="1" thickBot="1" x14ac:dyDescent="0.25">
      <c r="B60" s="24"/>
      <c r="C60" s="24" t="s">
        <v>150</v>
      </c>
      <c r="E60" s="328"/>
      <c r="F60" s="223" t="s">
        <v>144</v>
      </c>
      <c r="G60" s="180" t="s">
        <v>2</v>
      </c>
      <c r="H60" s="330"/>
      <c r="I60" s="324"/>
      <c r="J60" s="324"/>
      <c r="K60" s="324"/>
      <c r="L60" s="324"/>
      <c r="M60" s="326"/>
    </row>
    <row r="61" spans="2:14" ht="16" customHeight="1" x14ac:dyDescent="0.2">
      <c r="E61" s="264" t="s">
        <v>62</v>
      </c>
      <c r="F61" s="224" t="s">
        <v>61</v>
      </c>
      <c r="G61" s="181">
        <v>4</v>
      </c>
      <c r="H61" s="37"/>
      <c r="I61" s="36">
        <f>$G61*I$59</f>
        <v>52</v>
      </c>
      <c r="J61" s="36">
        <f t="shared" ref="J61:M61" si="6">$G61*J$59</f>
        <v>68</v>
      </c>
      <c r="K61" s="36">
        <f t="shared" si="6"/>
        <v>132</v>
      </c>
      <c r="L61" s="36">
        <f t="shared" si="6"/>
        <v>260</v>
      </c>
      <c r="M61" s="38" t="e">
        <f t="shared" si="6"/>
        <v>#VALUE!</v>
      </c>
    </row>
    <row r="62" spans="2:14" ht="16" customHeight="1" x14ac:dyDescent="0.2">
      <c r="B62" s="20" t="s">
        <v>166</v>
      </c>
      <c r="C62" s="20"/>
      <c r="E62" s="264" t="s">
        <v>16</v>
      </c>
      <c r="F62" s="228">
        <v>0.05</v>
      </c>
      <c r="G62" s="181">
        <v>4</v>
      </c>
      <c r="H62" s="37"/>
      <c r="I62" s="36">
        <f t="shared" ref="I62:M64" si="7">$G62*I$59</f>
        <v>52</v>
      </c>
      <c r="J62" s="36">
        <f t="shared" si="7"/>
        <v>68</v>
      </c>
      <c r="K62" s="36">
        <f t="shared" si="7"/>
        <v>132</v>
      </c>
      <c r="L62" s="36">
        <f t="shared" si="7"/>
        <v>260</v>
      </c>
      <c r="M62" s="38" t="e">
        <f t="shared" si="7"/>
        <v>#VALUE!</v>
      </c>
    </row>
    <row r="63" spans="2:14" ht="16" customHeight="1" x14ac:dyDescent="0.2">
      <c r="E63" s="264" t="s">
        <v>17</v>
      </c>
      <c r="F63" s="224" t="s">
        <v>18</v>
      </c>
      <c r="G63" s="181">
        <v>2</v>
      </c>
      <c r="H63" s="37"/>
      <c r="I63" s="36">
        <f t="shared" si="7"/>
        <v>26</v>
      </c>
      <c r="J63" s="36">
        <f t="shared" si="7"/>
        <v>34</v>
      </c>
      <c r="K63" s="36">
        <f t="shared" si="7"/>
        <v>66</v>
      </c>
      <c r="L63" s="36">
        <f t="shared" si="7"/>
        <v>130</v>
      </c>
      <c r="M63" s="38" t="e">
        <f t="shared" si="7"/>
        <v>#VALUE!</v>
      </c>
    </row>
    <row r="64" spans="2:14" ht="16" customHeight="1" x14ac:dyDescent="0.2">
      <c r="B64" s="24" t="s">
        <v>190</v>
      </c>
      <c r="C64" s="24"/>
      <c r="E64" s="264" t="s">
        <v>13</v>
      </c>
      <c r="F64" s="224"/>
      <c r="G64" s="181">
        <f>G65-SUM(G61:G63)</f>
        <v>29</v>
      </c>
      <c r="H64" s="37"/>
      <c r="I64" s="36">
        <f t="shared" si="7"/>
        <v>377</v>
      </c>
      <c r="J64" s="36">
        <f t="shared" si="7"/>
        <v>493</v>
      </c>
      <c r="K64" s="36">
        <f t="shared" si="7"/>
        <v>957</v>
      </c>
      <c r="L64" s="36">
        <f t="shared" si="7"/>
        <v>1885</v>
      </c>
      <c r="M64" s="38" t="e">
        <f t="shared" si="7"/>
        <v>#VALUE!</v>
      </c>
    </row>
    <row r="65" spans="2:13" ht="16" customHeight="1" x14ac:dyDescent="0.2">
      <c r="B65" s="24"/>
      <c r="C65" s="24" t="s">
        <v>145</v>
      </c>
      <c r="E65" s="263" t="s">
        <v>184</v>
      </c>
      <c r="F65" s="229"/>
      <c r="G65" s="185">
        <f>G67-G66</f>
        <v>39</v>
      </c>
      <c r="H65" s="52"/>
      <c r="I65" s="51">
        <f>SUM(I61:I64)</f>
        <v>507</v>
      </c>
      <c r="J65" s="51">
        <f t="shared" ref="J65:L65" si="8">SUM(J61:J64)</f>
        <v>663</v>
      </c>
      <c r="K65" s="51">
        <f t="shared" si="8"/>
        <v>1287</v>
      </c>
      <c r="L65" s="51">
        <f t="shared" si="8"/>
        <v>2535</v>
      </c>
      <c r="M65" s="53" t="e">
        <f>SUM(M61:M64)</f>
        <v>#VALUE!</v>
      </c>
    </row>
    <row r="66" spans="2:13" ht="16" customHeight="1" x14ac:dyDescent="0.2">
      <c r="B66" s="24"/>
      <c r="C66" s="24" t="s">
        <v>153</v>
      </c>
      <c r="E66" s="265" t="s">
        <v>31</v>
      </c>
      <c r="F66" s="225"/>
      <c r="G66" s="182">
        <v>1</v>
      </c>
      <c r="H66" s="31"/>
      <c r="I66" s="32"/>
      <c r="J66" s="32"/>
      <c r="K66" s="32"/>
      <c r="L66" s="32"/>
      <c r="M66" s="39"/>
    </row>
    <row r="67" spans="2:13" ht="16" customHeight="1" x14ac:dyDescent="0.2">
      <c r="B67" s="24"/>
      <c r="C67" s="24" t="s">
        <v>151</v>
      </c>
      <c r="E67" s="266" t="s">
        <v>185</v>
      </c>
      <c r="F67" s="226"/>
      <c r="G67" s="183">
        <v>40</v>
      </c>
      <c r="H67" s="41"/>
      <c r="I67" s="40"/>
      <c r="J67" s="40"/>
      <c r="K67" s="40"/>
      <c r="L67" s="40"/>
      <c r="M67" s="42"/>
    </row>
    <row r="68" spans="2:13" ht="16" customHeight="1" x14ac:dyDescent="0.2">
      <c r="B68" s="24"/>
      <c r="C68" s="24" t="s">
        <v>156</v>
      </c>
      <c r="E68" s="184"/>
      <c r="F68" s="16"/>
      <c r="G68" s="184"/>
      <c r="H68" s="15"/>
      <c r="I68" s="16"/>
      <c r="J68" s="16"/>
      <c r="K68" s="16"/>
      <c r="L68" s="16"/>
      <c r="M68" s="16"/>
    </row>
    <row r="69" spans="2:13" ht="16" customHeight="1" thickBot="1" x14ac:dyDescent="0.25">
      <c r="B69" s="24"/>
      <c r="C69" s="24" t="s">
        <v>155</v>
      </c>
      <c r="E69" s="267" t="s">
        <v>29</v>
      </c>
      <c r="F69" s="43"/>
      <c r="G69" s="186" t="s">
        <v>45</v>
      </c>
      <c r="H69" s="44"/>
      <c r="I69" s="43"/>
      <c r="J69" s="43"/>
      <c r="K69" s="43"/>
      <c r="L69" s="43"/>
      <c r="M69" s="45"/>
    </row>
    <row r="70" spans="2:13" ht="16" customHeight="1" x14ac:dyDescent="0.2">
      <c r="E70" s="327" t="s">
        <v>0</v>
      </c>
      <c r="F70" s="222" t="s">
        <v>3</v>
      </c>
      <c r="G70" s="179" t="s">
        <v>1</v>
      </c>
      <c r="H70" s="329" t="s">
        <v>59</v>
      </c>
      <c r="I70" s="323">
        <f>I$1+1</f>
        <v>13</v>
      </c>
      <c r="J70" s="323">
        <f>J$1+1</f>
        <v>17</v>
      </c>
      <c r="K70" s="323">
        <f>K$1+1</f>
        <v>33</v>
      </c>
      <c r="L70" s="323">
        <f>L$1+1</f>
        <v>65</v>
      </c>
      <c r="M70" s="325" t="e">
        <f>M$1+1</f>
        <v>#VALUE!</v>
      </c>
    </row>
    <row r="71" spans="2:13" ht="16" customHeight="1" thickBot="1" x14ac:dyDescent="0.25">
      <c r="B71" s="20" t="s">
        <v>167</v>
      </c>
      <c r="C71" s="20"/>
      <c r="E71" s="328"/>
      <c r="F71" s="223" t="s">
        <v>144</v>
      </c>
      <c r="G71" s="180" t="s">
        <v>2</v>
      </c>
      <c r="H71" s="330"/>
      <c r="I71" s="324"/>
      <c r="J71" s="324"/>
      <c r="K71" s="324"/>
      <c r="L71" s="324"/>
      <c r="M71" s="326"/>
    </row>
    <row r="72" spans="2:13" ht="16" customHeight="1" x14ac:dyDescent="0.2">
      <c r="E72" s="264" t="s">
        <v>63</v>
      </c>
      <c r="F72" s="224" t="s">
        <v>61</v>
      </c>
      <c r="G72" s="181">
        <v>4</v>
      </c>
      <c r="H72" s="37"/>
      <c r="I72" s="36">
        <f>$G72*I$70</f>
        <v>52</v>
      </c>
      <c r="J72" s="36">
        <f t="shared" ref="J72:M72" si="9">$G72*J$70</f>
        <v>68</v>
      </c>
      <c r="K72" s="36">
        <f t="shared" si="9"/>
        <v>132</v>
      </c>
      <c r="L72" s="36">
        <f t="shared" si="9"/>
        <v>260</v>
      </c>
      <c r="M72" s="38" t="e">
        <f t="shared" si="9"/>
        <v>#VALUE!</v>
      </c>
    </row>
    <row r="73" spans="2:13" ht="16" customHeight="1" x14ac:dyDescent="0.2">
      <c r="B73" s="28" t="s">
        <v>176</v>
      </c>
      <c r="C73" s="28"/>
      <c r="E73" s="264" t="s">
        <v>19</v>
      </c>
      <c r="F73" s="224" t="s">
        <v>20</v>
      </c>
      <c r="G73" s="181">
        <v>0.4</v>
      </c>
      <c r="H73" s="37"/>
      <c r="I73" s="36">
        <f>$G73*I$70</f>
        <v>5.2</v>
      </c>
      <c r="J73" s="36">
        <f t="shared" ref="J73:M76" si="10">$G73*J$70</f>
        <v>6.8000000000000007</v>
      </c>
      <c r="K73" s="36">
        <f t="shared" si="10"/>
        <v>13.200000000000001</v>
      </c>
      <c r="L73" s="36">
        <f t="shared" si="10"/>
        <v>26</v>
      </c>
      <c r="M73" s="38" t="e">
        <f t="shared" si="10"/>
        <v>#VALUE!</v>
      </c>
    </row>
    <row r="74" spans="2:13" ht="16" customHeight="1" x14ac:dyDescent="0.2">
      <c r="E74" s="264" t="s">
        <v>21</v>
      </c>
      <c r="F74" s="224" t="s">
        <v>22</v>
      </c>
      <c r="G74" s="181">
        <v>1.5</v>
      </c>
      <c r="H74" s="37"/>
      <c r="I74" s="36">
        <f>$G74*I$70</f>
        <v>19.5</v>
      </c>
      <c r="J74" s="36">
        <f t="shared" si="10"/>
        <v>25.5</v>
      </c>
      <c r="K74" s="36">
        <f t="shared" si="10"/>
        <v>49.5</v>
      </c>
      <c r="L74" s="36">
        <f t="shared" si="10"/>
        <v>97.5</v>
      </c>
      <c r="M74" s="38" t="e">
        <f t="shared" si="10"/>
        <v>#VALUE!</v>
      </c>
    </row>
    <row r="75" spans="2:13" ht="16" customHeight="1" x14ac:dyDescent="0.2">
      <c r="B75" s="25" t="s">
        <v>191</v>
      </c>
      <c r="C75" s="26"/>
      <c r="E75" s="265" t="s">
        <v>13</v>
      </c>
      <c r="F75" s="225"/>
      <c r="G75" s="182">
        <f>G76-SUM(G72:G74)</f>
        <v>34.1</v>
      </c>
      <c r="H75" s="31"/>
      <c r="I75" s="32">
        <f>$G75*I$70</f>
        <v>443.3</v>
      </c>
      <c r="J75" s="32">
        <f t="shared" si="10"/>
        <v>579.70000000000005</v>
      </c>
      <c r="K75" s="32">
        <f t="shared" si="10"/>
        <v>1125.3</v>
      </c>
      <c r="L75" s="32">
        <f t="shared" si="10"/>
        <v>2216.5</v>
      </c>
      <c r="M75" s="39" t="e">
        <f t="shared" si="10"/>
        <v>#VALUE!</v>
      </c>
    </row>
    <row r="76" spans="2:13" ht="16" customHeight="1" x14ac:dyDescent="0.2">
      <c r="B76" s="25"/>
      <c r="C76" s="25" t="s">
        <v>145</v>
      </c>
      <c r="E76" s="266" t="s">
        <v>26</v>
      </c>
      <c r="F76" s="226"/>
      <c r="G76" s="183">
        <v>40</v>
      </c>
      <c r="H76" s="41"/>
      <c r="I76" s="40">
        <f>$G76*I$70</f>
        <v>520</v>
      </c>
      <c r="J76" s="40">
        <f t="shared" si="10"/>
        <v>680</v>
      </c>
      <c r="K76" s="40">
        <f t="shared" si="10"/>
        <v>1320</v>
      </c>
      <c r="L76" s="40">
        <f t="shared" si="10"/>
        <v>2600</v>
      </c>
      <c r="M76" s="42" t="e">
        <f t="shared" si="10"/>
        <v>#VALUE!</v>
      </c>
    </row>
    <row r="77" spans="2:13" ht="16" customHeight="1" x14ac:dyDescent="0.2">
      <c r="B77" s="25"/>
      <c r="C77" s="25" t="s">
        <v>157</v>
      </c>
      <c r="E77" s="114" t="s">
        <v>213</v>
      </c>
      <c r="F77" s="227"/>
      <c r="G77" s="114"/>
      <c r="H77" s="18"/>
      <c r="I77" s="19"/>
      <c r="J77" s="19"/>
      <c r="K77" s="19"/>
      <c r="L77" s="19"/>
      <c r="M77" s="19"/>
    </row>
    <row r="78" spans="2:13" ht="16" customHeight="1" x14ac:dyDescent="0.2">
      <c r="B78" s="25"/>
      <c r="C78" s="25" t="s">
        <v>159</v>
      </c>
      <c r="E78" s="184"/>
      <c r="F78" s="16"/>
      <c r="G78" s="184"/>
      <c r="H78" s="15"/>
      <c r="I78" s="16"/>
      <c r="J78" s="16"/>
      <c r="K78" s="16"/>
      <c r="L78" s="16"/>
      <c r="M78" s="16"/>
    </row>
    <row r="79" spans="2:13" ht="16" customHeight="1" thickBot="1" x14ac:dyDescent="0.25">
      <c r="B79" s="25"/>
      <c r="C79" s="25" t="s">
        <v>158</v>
      </c>
      <c r="E79" s="268" t="s">
        <v>30</v>
      </c>
      <c r="F79" s="54"/>
      <c r="G79" s="187" t="s">
        <v>45</v>
      </c>
      <c r="H79" s="55"/>
      <c r="I79" s="54"/>
      <c r="J79" s="54"/>
      <c r="K79" s="54"/>
      <c r="L79" s="54"/>
      <c r="M79" s="56"/>
    </row>
    <row r="80" spans="2:13" ht="16" customHeight="1" x14ac:dyDescent="0.2">
      <c r="B80" s="25"/>
      <c r="C80" s="25" t="s">
        <v>243</v>
      </c>
      <c r="E80" s="319" t="s">
        <v>0</v>
      </c>
      <c r="F80" s="230" t="s">
        <v>3</v>
      </c>
      <c r="G80" s="188" t="s">
        <v>1</v>
      </c>
      <c r="H80" s="321" t="s">
        <v>59</v>
      </c>
      <c r="I80" s="291">
        <f>I$1+1</f>
        <v>13</v>
      </c>
      <c r="J80" s="291">
        <f>J$1+1</f>
        <v>17</v>
      </c>
      <c r="K80" s="291">
        <f>K$1+1</f>
        <v>33</v>
      </c>
      <c r="L80" s="291">
        <f>L$1+1</f>
        <v>65</v>
      </c>
      <c r="M80" s="293" t="e">
        <f>M$1+1</f>
        <v>#VALUE!</v>
      </c>
    </row>
    <row r="81" spans="1:13" ht="16" customHeight="1" thickBot="1" x14ac:dyDescent="0.25">
      <c r="B81" s="25"/>
      <c r="C81" s="25" t="s">
        <v>126</v>
      </c>
      <c r="E81" s="320"/>
      <c r="F81" s="231" t="s">
        <v>152</v>
      </c>
      <c r="G81" s="189" t="s">
        <v>2</v>
      </c>
      <c r="H81" s="322"/>
      <c r="I81" s="315"/>
      <c r="J81" s="315"/>
      <c r="K81" s="315"/>
      <c r="L81" s="315"/>
      <c r="M81" s="316"/>
    </row>
    <row r="82" spans="1:13" ht="16" customHeight="1" x14ac:dyDescent="0.2">
      <c r="E82" s="269" t="s">
        <v>64</v>
      </c>
      <c r="F82" s="232" t="s">
        <v>61</v>
      </c>
      <c r="G82" s="190">
        <v>25</v>
      </c>
      <c r="H82" s="26"/>
      <c r="I82" s="46">
        <f>$G82*I$80</f>
        <v>325</v>
      </c>
      <c r="J82" s="46">
        <f t="shared" ref="J82:L82" si="11">$G82*J$80</f>
        <v>425</v>
      </c>
      <c r="K82" s="46">
        <f t="shared" si="11"/>
        <v>825</v>
      </c>
      <c r="L82" s="46">
        <f t="shared" si="11"/>
        <v>1625</v>
      </c>
      <c r="M82" s="47" t="e">
        <f>$G82*M$80</f>
        <v>#VALUE!</v>
      </c>
    </row>
    <row r="83" spans="1:13" ht="16" customHeight="1" x14ac:dyDescent="0.2">
      <c r="B83" s="20" t="s">
        <v>168</v>
      </c>
      <c r="C83" s="20"/>
      <c r="E83" s="269" t="s">
        <v>23</v>
      </c>
      <c r="F83" s="232" t="s">
        <v>24</v>
      </c>
      <c r="G83" s="190">
        <v>1.5</v>
      </c>
      <c r="H83" s="26"/>
      <c r="I83" s="46">
        <f>$G83*I$80</f>
        <v>19.5</v>
      </c>
      <c r="J83" s="46">
        <f t="shared" ref="J83:L86" si="12">$G83*J$80</f>
        <v>25.5</v>
      </c>
      <c r="K83" s="46">
        <f t="shared" si="12"/>
        <v>49.5</v>
      </c>
      <c r="L83" s="46">
        <f t="shared" si="12"/>
        <v>97.5</v>
      </c>
      <c r="M83" s="47" t="e">
        <f>$G83*M$80</f>
        <v>#VALUE!</v>
      </c>
    </row>
    <row r="84" spans="1:13" ht="16" customHeight="1" x14ac:dyDescent="0.2">
      <c r="C84" s="21"/>
      <c r="E84" s="269" t="s">
        <v>25</v>
      </c>
      <c r="F84" s="232" t="s">
        <v>24</v>
      </c>
      <c r="G84" s="190">
        <v>1.5</v>
      </c>
      <c r="H84" s="26"/>
      <c r="I84" s="46">
        <f>$G84*I$80</f>
        <v>19.5</v>
      </c>
      <c r="J84" s="46">
        <f t="shared" si="12"/>
        <v>25.5</v>
      </c>
      <c r="K84" s="46">
        <f t="shared" si="12"/>
        <v>49.5</v>
      </c>
      <c r="L84" s="46">
        <f t="shared" si="12"/>
        <v>97.5</v>
      </c>
      <c r="M84" s="47" t="e">
        <f>$G84*M$80</f>
        <v>#VALUE!</v>
      </c>
    </row>
    <row r="85" spans="1:13" ht="16" customHeight="1" x14ac:dyDescent="0.2">
      <c r="B85" s="28" t="s">
        <v>176</v>
      </c>
      <c r="C85" s="28"/>
      <c r="E85" s="270" t="s">
        <v>13</v>
      </c>
      <c r="F85" s="233"/>
      <c r="G85" s="191">
        <f>G86-SUM(G82:G84)</f>
        <v>16</v>
      </c>
      <c r="H85" s="49"/>
      <c r="I85" s="48">
        <f>$G85*I$80</f>
        <v>208</v>
      </c>
      <c r="J85" s="48">
        <f t="shared" si="12"/>
        <v>272</v>
      </c>
      <c r="K85" s="48">
        <f t="shared" si="12"/>
        <v>528</v>
      </c>
      <c r="L85" s="48">
        <f t="shared" si="12"/>
        <v>1040</v>
      </c>
      <c r="M85" s="50" t="e">
        <f>$G85*M$80</f>
        <v>#VALUE!</v>
      </c>
    </row>
    <row r="86" spans="1:13" ht="16" customHeight="1" x14ac:dyDescent="0.2">
      <c r="B86" s="28"/>
      <c r="C86" s="29" t="s">
        <v>226</v>
      </c>
      <c r="E86" s="271" t="s">
        <v>184</v>
      </c>
      <c r="F86" s="234"/>
      <c r="G86" s="192">
        <v>44</v>
      </c>
      <c r="H86" s="60"/>
      <c r="I86" s="60">
        <f>$G86*I$80</f>
        <v>572</v>
      </c>
      <c r="J86" s="60">
        <f t="shared" si="12"/>
        <v>748</v>
      </c>
      <c r="K86" s="60">
        <f t="shared" si="12"/>
        <v>1452</v>
      </c>
      <c r="L86" s="60">
        <f t="shared" si="12"/>
        <v>2860</v>
      </c>
      <c r="M86" s="61" t="e">
        <f>$G86*M$80</f>
        <v>#VALUE!</v>
      </c>
    </row>
    <row r="87" spans="1:13" ht="16" customHeight="1" x14ac:dyDescent="0.2">
      <c r="E87" s="272" t="s">
        <v>66</v>
      </c>
      <c r="F87" s="233"/>
      <c r="G87" s="193">
        <v>6</v>
      </c>
      <c r="H87" s="48"/>
      <c r="I87" s="48"/>
      <c r="J87" s="48"/>
      <c r="K87" s="48"/>
      <c r="L87" s="48"/>
      <c r="M87" s="50"/>
    </row>
    <row r="88" spans="1:13" ht="16" customHeight="1" x14ac:dyDescent="0.2">
      <c r="B88" s="28" t="s">
        <v>177</v>
      </c>
      <c r="C88" s="29"/>
      <c r="E88" s="273" t="s">
        <v>185</v>
      </c>
      <c r="F88" s="235"/>
      <c r="G88" s="194">
        <v>50</v>
      </c>
      <c r="H88" s="58"/>
      <c r="I88" s="57"/>
      <c r="J88" s="57"/>
      <c r="K88" s="57"/>
      <c r="L88" s="57"/>
      <c r="M88" s="59"/>
    </row>
    <row r="89" spans="1:13" ht="16" customHeight="1" x14ac:dyDescent="0.2">
      <c r="F89" s="173"/>
      <c r="I89" s="10"/>
      <c r="J89" s="10"/>
      <c r="K89" s="10"/>
      <c r="L89" s="10"/>
      <c r="M89" s="10"/>
    </row>
    <row r="90" spans="1:13" ht="16" customHeight="1" x14ac:dyDescent="0.2">
      <c r="A90" s="27" t="s">
        <v>210</v>
      </c>
      <c r="E90" s="184"/>
      <c r="F90" s="16"/>
      <c r="G90" s="184"/>
      <c r="H90" s="15"/>
      <c r="I90" s="16"/>
      <c r="J90" s="16"/>
      <c r="K90" s="16"/>
      <c r="L90" s="16"/>
      <c r="M90" s="16"/>
    </row>
    <row r="91" spans="1:13" ht="16" hidden="1" customHeight="1" thickBot="1" x14ac:dyDescent="0.25">
      <c r="E91" s="274" t="s">
        <v>43</v>
      </c>
      <c r="F91" s="16"/>
      <c r="G91" s="184"/>
      <c r="H91" s="15"/>
      <c r="I91" s="16"/>
      <c r="J91" s="16"/>
      <c r="K91" s="16"/>
      <c r="L91" s="16"/>
      <c r="M91" s="16"/>
    </row>
    <row r="92" spans="1:13" ht="29" hidden="1" customHeight="1" thickBot="1" x14ac:dyDescent="0.25">
      <c r="E92" s="195" t="s">
        <v>14</v>
      </c>
      <c r="F92" s="195"/>
      <c r="G92" s="195" t="s">
        <v>15</v>
      </c>
      <c r="H92" s="6" t="s">
        <v>32</v>
      </c>
      <c r="I92" s="14">
        <f>I$47</f>
        <v>13</v>
      </c>
      <c r="J92" s="14">
        <f>J$47</f>
        <v>17</v>
      </c>
      <c r="K92" s="14">
        <f t="shared" ref="K92" si="13">K$47</f>
        <v>33</v>
      </c>
      <c r="L92" s="14">
        <f>L$47</f>
        <v>65</v>
      </c>
      <c r="M92" s="14" t="e">
        <f>M$47</f>
        <v>#VALUE!</v>
      </c>
    </row>
    <row r="93" spans="1:13" ht="16" hidden="1" customHeight="1" x14ac:dyDescent="0.2">
      <c r="E93" s="196" t="s">
        <v>33</v>
      </c>
      <c r="F93" s="196"/>
      <c r="G93" s="196">
        <v>2.5</v>
      </c>
      <c r="H93" s="1"/>
      <c r="I93" s="2">
        <f t="shared" ref="I93:K96" si="14">$G93*I$47</f>
        <v>32.5</v>
      </c>
      <c r="J93" s="2">
        <f t="shared" si="14"/>
        <v>42.5</v>
      </c>
      <c r="K93" s="2">
        <f t="shared" si="14"/>
        <v>82.5</v>
      </c>
      <c r="L93" s="2">
        <f t="shared" ref="L93:M96" si="15">$G93*L$47</f>
        <v>162.5</v>
      </c>
      <c r="M93" s="2" t="e">
        <f t="shared" si="15"/>
        <v>#VALUE!</v>
      </c>
    </row>
    <row r="94" spans="1:13" ht="16" hidden="1" customHeight="1" x14ac:dyDescent="0.2">
      <c r="E94" s="196" t="s">
        <v>34</v>
      </c>
      <c r="F94" s="196"/>
      <c r="G94" s="196">
        <v>0.08</v>
      </c>
      <c r="H94" s="1"/>
      <c r="I94" s="2">
        <f t="shared" si="14"/>
        <v>1.04</v>
      </c>
      <c r="J94" s="2">
        <f t="shared" si="14"/>
        <v>1.36</v>
      </c>
      <c r="K94" s="2">
        <f t="shared" si="14"/>
        <v>2.64</v>
      </c>
      <c r="L94" s="2">
        <f t="shared" si="15"/>
        <v>5.2</v>
      </c>
      <c r="M94" s="2" t="e">
        <f t="shared" si="15"/>
        <v>#VALUE!</v>
      </c>
    </row>
    <row r="95" spans="1:13" ht="16" hidden="1" customHeight="1" x14ac:dyDescent="0.2">
      <c r="E95" s="197" t="s">
        <v>35</v>
      </c>
      <c r="F95" s="236"/>
      <c r="G95" s="197">
        <v>0.08</v>
      </c>
      <c r="H95" s="4"/>
      <c r="I95" s="5">
        <f t="shared" si="14"/>
        <v>1.04</v>
      </c>
      <c r="J95" s="5">
        <f t="shared" si="14"/>
        <v>1.36</v>
      </c>
      <c r="K95" s="5">
        <f t="shared" si="14"/>
        <v>2.64</v>
      </c>
      <c r="L95" s="5">
        <f t="shared" si="15"/>
        <v>5.2</v>
      </c>
      <c r="M95" s="5" t="e">
        <f t="shared" si="15"/>
        <v>#VALUE!</v>
      </c>
    </row>
    <row r="96" spans="1:13" ht="16" hidden="1" customHeight="1" thickBot="1" x14ac:dyDescent="0.25">
      <c r="E96" s="198" t="s">
        <v>26</v>
      </c>
      <c r="F96" s="237"/>
      <c r="G96" s="198">
        <v>2.66</v>
      </c>
      <c r="H96" s="9"/>
      <c r="I96" s="3">
        <f t="shared" si="14"/>
        <v>34.58</v>
      </c>
      <c r="J96" s="3">
        <f t="shared" si="14"/>
        <v>45.22</v>
      </c>
      <c r="K96" s="3">
        <f t="shared" si="14"/>
        <v>87.78</v>
      </c>
      <c r="L96" s="13">
        <f t="shared" si="15"/>
        <v>172.9</v>
      </c>
      <c r="M96" s="3" t="e">
        <f t="shared" si="15"/>
        <v>#VALUE!</v>
      </c>
    </row>
    <row r="97" spans="5:13" ht="16" hidden="1" customHeight="1" x14ac:dyDescent="0.2">
      <c r="E97" s="199"/>
      <c r="F97" s="199"/>
      <c r="G97" s="199"/>
      <c r="H97" s="15"/>
      <c r="I97" s="15"/>
      <c r="J97" s="15"/>
      <c r="K97" s="15"/>
      <c r="L97" s="15"/>
      <c r="M97" s="15"/>
    </row>
    <row r="98" spans="5:13" ht="16" hidden="1" customHeight="1" thickBot="1" x14ac:dyDescent="0.25">
      <c r="E98" s="274" t="s">
        <v>42</v>
      </c>
      <c r="F98" s="16"/>
      <c r="G98" s="184"/>
      <c r="H98" s="15"/>
      <c r="I98" s="16"/>
      <c r="J98" s="16"/>
      <c r="K98" s="16"/>
      <c r="L98" s="16"/>
      <c r="M98" s="16"/>
    </row>
    <row r="99" spans="5:13" ht="30" hidden="1" customHeight="1" thickBot="1" x14ac:dyDescent="0.25">
      <c r="E99" s="195" t="s">
        <v>14</v>
      </c>
      <c r="F99" s="195"/>
      <c r="G99" s="195" t="s">
        <v>15</v>
      </c>
      <c r="H99" s="6" t="s">
        <v>32</v>
      </c>
      <c r="I99" s="14">
        <f>I$47</f>
        <v>13</v>
      </c>
      <c r="J99" s="14">
        <f>J$47</f>
        <v>17</v>
      </c>
      <c r="K99" s="14">
        <f t="shared" ref="K99" si="16">K$47</f>
        <v>33</v>
      </c>
      <c r="L99" s="14">
        <f>L$47</f>
        <v>65</v>
      </c>
      <c r="M99" s="14" t="e">
        <f>M$47</f>
        <v>#VALUE!</v>
      </c>
    </row>
    <row r="100" spans="5:13" ht="16" hidden="1" customHeight="1" x14ac:dyDescent="0.2">
      <c r="E100" s="196" t="s">
        <v>36</v>
      </c>
      <c r="F100" s="196"/>
      <c r="G100" s="196">
        <v>10</v>
      </c>
      <c r="H100" s="1"/>
      <c r="I100" s="2">
        <f t="shared" ref="I100:K104" si="17">$G100*I$47</f>
        <v>130</v>
      </c>
      <c r="J100" s="2">
        <f t="shared" si="17"/>
        <v>170</v>
      </c>
      <c r="K100" s="2">
        <f t="shared" si="17"/>
        <v>330</v>
      </c>
      <c r="L100" s="2">
        <f t="shared" ref="L100:M104" si="18">$G100*L$47</f>
        <v>650</v>
      </c>
      <c r="M100" s="2" t="e">
        <f t="shared" si="18"/>
        <v>#VALUE!</v>
      </c>
    </row>
    <row r="101" spans="5:13" ht="16" hidden="1" customHeight="1" x14ac:dyDescent="0.2">
      <c r="E101" s="196" t="s">
        <v>37</v>
      </c>
      <c r="F101" s="196"/>
      <c r="G101" s="196">
        <v>0.4</v>
      </c>
      <c r="H101" s="1"/>
      <c r="I101" s="2">
        <f t="shared" si="17"/>
        <v>5.2</v>
      </c>
      <c r="J101" s="2">
        <f t="shared" si="17"/>
        <v>6.8000000000000007</v>
      </c>
      <c r="K101" s="2">
        <f t="shared" si="17"/>
        <v>13.200000000000001</v>
      </c>
      <c r="L101" s="2">
        <f t="shared" si="18"/>
        <v>26</v>
      </c>
      <c r="M101" s="2" t="e">
        <f t="shared" si="18"/>
        <v>#VALUE!</v>
      </c>
    </row>
    <row r="102" spans="5:13" ht="16" hidden="1" customHeight="1" x14ac:dyDescent="0.2">
      <c r="E102" s="196" t="s">
        <v>65</v>
      </c>
      <c r="F102" s="196"/>
      <c r="G102" s="196">
        <v>4</v>
      </c>
      <c r="H102" s="1"/>
      <c r="I102" s="2">
        <f t="shared" si="17"/>
        <v>52</v>
      </c>
      <c r="J102" s="2">
        <f t="shared" si="17"/>
        <v>68</v>
      </c>
      <c r="K102" s="2">
        <f t="shared" si="17"/>
        <v>132</v>
      </c>
      <c r="L102" s="2">
        <f t="shared" si="18"/>
        <v>260</v>
      </c>
      <c r="M102" s="2" t="e">
        <f t="shared" si="18"/>
        <v>#VALUE!</v>
      </c>
    </row>
    <row r="103" spans="5:13" ht="16" hidden="1" customHeight="1" x14ac:dyDescent="0.2">
      <c r="E103" s="197" t="s">
        <v>38</v>
      </c>
      <c r="F103" s="236"/>
      <c r="G103" s="197">
        <v>4</v>
      </c>
      <c r="H103" s="4"/>
      <c r="I103" s="5">
        <f t="shared" si="17"/>
        <v>52</v>
      </c>
      <c r="J103" s="5">
        <f t="shared" si="17"/>
        <v>68</v>
      </c>
      <c r="K103" s="5">
        <f t="shared" si="17"/>
        <v>132</v>
      </c>
      <c r="L103" s="5">
        <f t="shared" si="18"/>
        <v>260</v>
      </c>
      <c r="M103" s="5" t="e">
        <f t="shared" si="18"/>
        <v>#VALUE!</v>
      </c>
    </row>
    <row r="104" spans="5:13" ht="16" hidden="1" customHeight="1" thickBot="1" x14ac:dyDescent="0.25">
      <c r="E104" s="198" t="s">
        <v>26</v>
      </c>
      <c r="F104" s="237"/>
      <c r="G104" s="198">
        <v>18.399999999999999</v>
      </c>
      <c r="H104" s="9"/>
      <c r="I104" s="3">
        <f t="shared" si="17"/>
        <v>239.2</v>
      </c>
      <c r="J104" s="3">
        <f t="shared" si="17"/>
        <v>312.79999999999995</v>
      </c>
      <c r="K104" s="3">
        <f t="shared" si="17"/>
        <v>607.19999999999993</v>
      </c>
      <c r="L104" s="13">
        <f t="shared" si="18"/>
        <v>1196</v>
      </c>
      <c r="M104" s="3" t="e">
        <f t="shared" si="18"/>
        <v>#VALUE!</v>
      </c>
    </row>
    <row r="105" spans="5:13" ht="16" hidden="1" customHeight="1" x14ac:dyDescent="0.2">
      <c r="E105" s="199"/>
      <c r="F105" s="199"/>
      <c r="G105" s="199"/>
      <c r="H105" s="7"/>
      <c r="I105" s="8"/>
      <c r="J105" s="8"/>
      <c r="K105" s="8"/>
      <c r="L105" s="8"/>
      <c r="M105" s="8"/>
    </row>
    <row r="106" spans="5:13" ht="16" hidden="1" customHeight="1" thickBot="1" x14ac:dyDescent="0.25">
      <c r="E106" s="274" t="s">
        <v>41</v>
      </c>
      <c r="F106" s="16"/>
      <c r="G106" s="184"/>
      <c r="H106" s="15"/>
      <c r="I106" s="16"/>
      <c r="J106" s="16"/>
      <c r="K106" s="16"/>
      <c r="L106" s="16"/>
      <c r="M106" s="16"/>
    </row>
    <row r="107" spans="5:13" ht="33" hidden="1" customHeight="1" thickBot="1" x14ac:dyDescent="0.25">
      <c r="E107" s="195" t="s">
        <v>14</v>
      </c>
      <c r="F107" s="195"/>
      <c r="G107" s="195" t="s">
        <v>15</v>
      </c>
      <c r="H107" s="6" t="s">
        <v>32</v>
      </c>
      <c r="I107" s="14">
        <f>I$47</f>
        <v>13</v>
      </c>
      <c r="J107" s="14">
        <f>J$47</f>
        <v>17</v>
      </c>
      <c r="K107" s="14">
        <f t="shared" ref="K107" si="19">K$47</f>
        <v>33</v>
      </c>
      <c r="L107" s="14">
        <f>L$47</f>
        <v>65</v>
      </c>
      <c r="M107" s="14" t="e">
        <f>M$47</f>
        <v>#VALUE!</v>
      </c>
    </row>
    <row r="108" spans="5:13" ht="16" hidden="1" customHeight="1" x14ac:dyDescent="0.2">
      <c r="E108" s="196" t="s">
        <v>39</v>
      </c>
      <c r="F108" s="196"/>
      <c r="G108" s="196">
        <v>1</v>
      </c>
      <c r="H108" s="1"/>
      <c r="I108" s="2">
        <f>$G108*I$47</f>
        <v>13</v>
      </c>
      <c r="J108" s="2">
        <f t="shared" ref="I108:K111" si="20">$G108*J$47</f>
        <v>17</v>
      </c>
      <c r="K108" s="2">
        <f t="shared" si="20"/>
        <v>33</v>
      </c>
      <c r="L108" s="2">
        <f t="shared" ref="L108:M111" si="21">$G108*L$47</f>
        <v>65</v>
      </c>
      <c r="M108" s="2" t="e">
        <f t="shared" si="21"/>
        <v>#VALUE!</v>
      </c>
    </row>
    <row r="109" spans="5:13" ht="16" hidden="1" customHeight="1" x14ac:dyDescent="0.2">
      <c r="E109" s="196" t="s">
        <v>40</v>
      </c>
      <c r="F109" s="196"/>
      <c r="G109" s="196">
        <v>0.5</v>
      </c>
      <c r="H109" s="1"/>
      <c r="I109" s="2">
        <f>$G109*I$47</f>
        <v>6.5</v>
      </c>
      <c r="J109" s="2">
        <f>$G109*J$47</f>
        <v>8.5</v>
      </c>
      <c r="K109" s="2">
        <f t="shared" si="20"/>
        <v>16.5</v>
      </c>
      <c r="L109" s="2">
        <f t="shared" si="21"/>
        <v>32.5</v>
      </c>
      <c r="M109" s="2" t="e">
        <f t="shared" si="21"/>
        <v>#VALUE!</v>
      </c>
    </row>
    <row r="110" spans="5:13" ht="16" hidden="1" customHeight="1" x14ac:dyDescent="0.2">
      <c r="E110" s="197" t="s">
        <v>13</v>
      </c>
      <c r="F110" s="236"/>
      <c r="G110" s="197">
        <v>4.5</v>
      </c>
      <c r="H110" s="4"/>
      <c r="I110" s="5">
        <f t="shared" si="20"/>
        <v>58.5</v>
      </c>
      <c r="J110" s="5">
        <f t="shared" si="20"/>
        <v>76.5</v>
      </c>
      <c r="K110" s="5">
        <f t="shared" si="20"/>
        <v>148.5</v>
      </c>
      <c r="L110" s="5">
        <f t="shared" si="21"/>
        <v>292.5</v>
      </c>
      <c r="M110" s="5" t="e">
        <f t="shared" si="21"/>
        <v>#VALUE!</v>
      </c>
    </row>
    <row r="111" spans="5:13" ht="16" hidden="1" customHeight="1" thickBot="1" x14ac:dyDescent="0.25">
      <c r="E111" s="198" t="s">
        <v>26</v>
      </c>
      <c r="F111" s="237"/>
      <c r="G111" s="198">
        <v>6</v>
      </c>
      <c r="H111" s="9"/>
      <c r="I111" s="3">
        <f t="shared" si="20"/>
        <v>78</v>
      </c>
      <c r="J111" s="3">
        <f t="shared" si="20"/>
        <v>102</v>
      </c>
      <c r="K111" s="3">
        <f t="shared" si="20"/>
        <v>198</v>
      </c>
      <c r="L111" s="13">
        <f t="shared" si="21"/>
        <v>390</v>
      </c>
      <c r="M111" s="3" t="e">
        <f t="shared" si="21"/>
        <v>#VALUE!</v>
      </c>
    </row>
    <row r="112" spans="5:13" ht="16" customHeight="1" x14ac:dyDescent="0.2">
      <c r="E112" s="184"/>
      <c r="F112" s="16"/>
      <c r="G112" s="184"/>
      <c r="H112" s="15"/>
      <c r="I112" s="15"/>
      <c r="J112" s="15"/>
      <c r="K112" s="15"/>
      <c r="L112" s="15"/>
      <c r="M112" s="15"/>
    </row>
    <row r="113" spans="1:13" ht="16" customHeight="1" thickBot="1" x14ac:dyDescent="0.25">
      <c r="A113" s="153" t="s">
        <v>230</v>
      </c>
      <c r="B113" s="23"/>
      <c r="C113" s="23"/>
      <c r="E113" s="76" t="s">
        <v>52</v>
      </c>
      <c r="F113" s="77"/>
      <c r="G113" s="200" t="s">
        <v>47</v>
      </c>
      <c r="H113" s="78"/>
      <c r="I113" s="77"/>
      <c r="J113" s="77"/>
      <c r="K113" s="77"/>
      <c r="L113" s="77"/>
      <c r="M113" s="79"/>
    </row>
    <row r="114" spans="1:13" ht="16" customHeight="1" x14ac:dyDescent="0.2">
      <c r="E114" s="311" t="s">
        <v>0</v>
      </c>
      <c r="F114" s="238"/>
      <c r="G114" s="160" t="s">
        <v>1</v>
      </c>
      <c r="H114" s="313" t="s">
        <v>160</v>
      </c>
      <c r="I114" s="299">
        <f>I$1</f>
        <v>12</v>
      </c>
      <c r="J114" s="299">
        <f t="shared" ref="J114:M114" si="22">J$1</f>
        <v>16</v>
      </c>
      <c r="K114" s="299">
        <f>K$1</f>
        <v>32</v>
      </c>
      <c r="L114" s="299">
        <f t="shared" si="22"/>
        <v>64</v>
      </c>
      <c r="M114" s="301" t="str">
        <f t="shared" si="22"/>
        <v>CUSTOM VALUE</v>
      </c>
    </row>
    <row r="115" spans="1:13" ht="16" customHeight="1" thickBot="1" x14ac:dyDescent="0.25">
      <c r="B115" s="23" t="s">
        <v>192</v>
      </c>
      <c r="C115" s="23"/>
      <c r="E115" s="312"/>
      <c r="F115" s="239"/>
      <c r="G115" s="201" t="s">
        <v>2</v>
      </c>
      <c r="H115" s="314"/>
      <c r="I115" s="317"/>
      <c r="J115" s="317"/>
      <c r="K115" s="317"/>
      <c r="L115" s="317"/>
      <c r="M115" s="318"/>
    </row>
    <row r="116" spans="1:13" ht="16" customHeight="1" x14ac:dyDescent="0.2">
      <c r="B116" s="23"/>
      <c r="C116" s="23" t="s">
        <v>57</v>
      </c>
      <c r="E116" s="158" t="s">
        <v>128</v>
      </c>
      <c r="F116" s="202"/>
      <c r="G116" s="202">
        <v>9.25</v>
      </c>
      <c r="H116" s="67"/>
      <c r="I116" s="68">
        <f t="shared" ref="I116:M121" si="23">$G116*I$114</f>
        <v>111</v>
      </c>
      <c r="J116" s="68">
        <f t="shared" si="23"/>
        <v>148</v>
      </c>
      <c r="K116" s="68">
        <f t="shared" si="23"/>
        <v>296</v>
      </c>
      <c r="L116" s="68">
        <f t="shared" si="23"/>
        <v>592</v>
      </c>
      <c r="M116" s="69" t="e">
        <f t="shared" si="23"/>
        <v>#VALUE!</v>
      </c>
    </row>
    <row r="117" spans="1:13" ht="16" customHeight="1" x14ac:dyDescent="0.2">
      <c r="B117" s="23"/>
      <c r="C117" s="23" t="s">
        <v>54</v>
      </c>
      <c r="E117" s="158" t="s">
        <v>49</v>
      </c>
      <c r="F117" s="202"/>
      <c r="G117" s="202">
        <v>3.5</v>
      </c>
      <c r="H117" s="67"/>
      <c r="I117" s="68">
        <f t="shared" si="23"/>
        <v>42</v>
      </c>
      <c r="J117" s="68">
        <f t="shared" si="23"/>
        <v>56</v>
      </c>
      <c r="K117" s="68">
        <f t="shared" si="23"/>
        <v>112</v>
      </c>
      <c r="L117" s="68">
        <f t="shared" si="23"/>
        <v>224</v>
      </c>
      <c r="M117" s="69" t="e">
        <f t="shared" si="23"/>
        <v>#VALUE!</v>
      </c>
    </row>
    <row r="118" spans="1:13" ht="16" customHeight="1" x14ac:dyDescent="0.2">
      <c r="B118" s="23"/>
      <c r="C118" s="23" t="s">
        <v>124</v>
      </c>
      <c r="E118" s="158" t="s">
        <v>50</v>
      </c>
      <c r="F118" s="202"/>
      <c r="G118" s="202">
        <v>0.5</v>
      </c>
      <c r="H118" s="67"/>
      <c r="I118" s="68">
        <f t="shared" si="23"/>
        <v>6</v>
      </c>
      <c r="J118" s="68">
        <f t="shared" si="23"/>
        <v>8</v>
      </c>
      <c r="K118" s="68">
        <f t="shared" si="23"/>
        <v>16</v>
      </c>
      <c r="L118" s="68">
        <f t="shared" si="23"/>
        <v>32</v>
      </c>
      <c r="M118" s="69" t="e">
        <f t="shared" si="23"/>
        <v>#VALUE!</v>
      </c>
    </row>
    <row r="119" spans="1:13" ht="16" customHeight="1" x14ac:dyDescent="0.2">
      <c r="B119" s="23"/>
      <c r="C119" s="23" t="s">
        <v>58</v>
      </c>
      <c r="E119" s="158" t="s">
        <v>51</v>
      </c>
      <c r="F119" s="202"/>
      <c r="G119" s="202">
        <v>1.25</v>
      </c>
      <c r="H119" s="67"/>
      <c r="I119" s="68">
        <f t="shared" si="23"/>
        <v>15</v>
      </c>
      <c r="J119" s="68">
        <f t="shared" si="23"/>
        <v>20</v>
      </c>
      <c r="K119" s="68">
        <f t="shared" si="23"/>
        <v>40</v>
      </c>
      <c r="L119" s="68">
        <f t="shared" si="23"/>
        <v>80</v>
      </c>
      <c r="M119" s="69" t="e">
        <f t="shared" si="23"/>
        <v>#VALUE!</v>
      </c>
    </row>
    <row r="120" spans="1:13" ht="16" customHeight="1" x14ac:dyDescent="0.2">
      <c r="B120" s="23"/>
      <c r="C120" s="23" t="s">
        <v>136</v>
      </c>
      <c r="E120" s="158" t="s">
        <v>44</v>
      </c>
      <c r="F120" s="202"/>
      <c r="G120" s="202">
        <v>0.5</v>
      </c>
      <c r="H120" s="67"/>
      <c r="I120" s="68">
        <f t="shared" si="23"/>
        <v>6</v>
      </c>
      <c r="J120" s="68">
        <f t="shared" si="23"/>
        <v>8</v>
      </c>
      <c r="K120" s="68">
        <f t="shared" si="23"/>
        <v>16</v>
      </c>
      <c r="L120" s="68">
        <f t="shared" si="23"/>
        <v>32</v>
      </c>
      <c r="M120" s="69" t="e">
        <f t="shared" si="23"/>
        <v>#VALUE!</v>
      </c>
    </row>
    <row r="121" spans="1:13" ht="16" customHeight="1" x14ac:dyDescent="0.2">
      <c r="B121" s="23"/>
      <c r="C121" s="23" t="s">
        <v>246</v>
      </c>
      <c r="E121" s="159" t="s">
        <v>13</v>
      </c>
      <c r="F121" s="240"/>
      <c r="G121" s="203">
        <v>5</v>
      </c>
      <c r="H121" s="71"/>
      <c r="I121" s="70">
        <f t="shared" si="23"/>
        <v>60</v>
      </c>
      <c r="J121" s="70">
        <f t="shared" si="23"/>
        <v>80</v>
      </c>
      <c r="K121" s="70">
        <f t="shared" si="23"/>
        <v>160</v>
      </c>
      <c r="L121" s="70">
        <f t="shared" si="23"/>
        <v>320</v>
      </c>
      <c r="M121" s="72" t="e">
        <f t="shared" si="23"/>
        <v>#VALUE!</v>
      </c>
    </row>
    <row r="122" spans="1:13" ht="16" customHeight="1" x14ac:dyDescent="0.2">
      <c r="E122" s="275" t="s">
        <v>26</v>
      </c>
      <c r="F122" s="241"/>
      <c r="G122" s="204">
        <v>20</v>
      </c>
      <c r="H122" s="74"/>
      <c r="I122" s="73">
        <f>$G122*I114</f>
        <v>240</v>
      </c>
      <c r="J122" s="73">
        <f t="shared" ref="J122:K122" si="24">$G122*J$47</f>
        <v>340</v>
      </c>
      <c r="K122" s="73">
        <f t="shared" si="24"/>
        <v>660</v>
      </c>
      <c r="L122" s="73">
        <f>$G122*L$47</f>
        <v>1300</v>
      </c>
      <c r="M122" s="75" t="e">
        <f>$G122*M$47</f>
        <v>#VALUE!</v>
      </c>
    </row>
    <row r="123" spans="1:13" ht="16" customHeight="1" x14ac:dyDescent="0.2">
      <c r="B123" s="23" t="s">
        <v>193</v>
      </c>
      <c r="C123" s="23"/>
      <c r="E123" s="114" t="s">
        <v>208</v>
      </c>
      <c r="F123" s="227"/>
      <c r="G123" s="114"/>
      <c r="H123" s="18"/>
      <c r="I123" s="19"/>
      <c r="J123" s="19"/>
      <c r="K123" s="19"/>
      <c r="L123" s="19"/>
      <c r="M123" s="19"/>
    </row>
    <row r="124" spans="1:13" ht="16" customHeight="1" x14ac:dyDescent="0.2">
      <c r="B124" s="23"/>
      <c r="C124" s="23" t="s">
        <v>125</v>
      </c>
      <c r="E124" s="114" t="s">
        <v>209</v>
      </c>
      <c r="F124" s="227"/>
      <c r="G124" s="114"/>
      <c r="H124" s="18"/>
      <c r="I124" s="19"/>
      <c r="J124" s="19"/>
      <c r="K124" s="19"/>
      <c r="L124" s="19"/>
      <c r="M124" s="19"/>
    </row>
    <row r="125" spans="1:13" ht="16" customHeight="1" x14ac:dyDescent="0.2">
      <c r="B125" s="23"/>
      <c r="C125" s="23" t="s">
        <v>161</v>
      </c>
      <c r="E125" s="205"/>
      <c r="F125" s="17"/>
      <c r="G125" s="205"/>
      <c r="H125" s="15"/>
      <c r="I125" s="16"/>
      <c r="J125" s="16"/>
      <c r="K125" s="16"/>
      <c r="L125" s="16"/>
      <c r="M125" s="16"/>
    </row>
    <row r="126" spans="1:13" ht="16" customHeight="1" thickBot="1" x14ac:dyDescent="0.25">
      <c r="B126" s="23"/>
      <c r="C126" s="23" t="s">
        <v>244</v>
      </c>
      <c r="E126" s="76" t="s">
        <v>46</v>
      </c>
      <c r="F126" s="77"/>
      <c r="G126" s="200" t="s">
        <v>47</v>
      </c>
      <c r="H126" s="78"/>
      <c r="I126" s="77"/>
      <c r="J126" s="77"/>
      <c r="K126" s="77"/>
      <c r="L126" s="77"/>
      <c r="M126" s="79"/>
    </row>
    <row r="127" spans="1:13" ht="16" customHeight="1" x14ac:dyDescent="0.2">
      <c r="B127" s="23"/>
      <c r="C127" s="23" t="s">
        <v>200</v>
      </c>
      <c r="E127" s="311" t="s">
        <v>0</v>
      </c>
      <c r="F127" s="238"/>
      <c r="G127" s="160" t="s">
        <v>1</v>
      </c>
      <c r="H127" s="313" t="s">
        <v>160</v>
      </c>
      <c r="I127" s="299">
        <f>I$1</f>
        <v>12</v>
      </c>
      <c r="J127" s="299">
        <f t="shared" ref="J127:M127" si="25">J$1</f>
        <v>16</v>
      </c>
      <c r="K127" s="299">
        <f t="shared" si="25"/>
        <v>32</v>
      </c>
      <c r="L127" s="299">
        <f t="shared" si="25"/>
        <v>64</v>
      </c>
      <c r="M127" s="301" t="str">
        <f t="shared" si="25"/>
        <v>CUSTOM VALUE</v>
      </c>
    </row>
    <row r="128" spans="1:13" ht="16" customHeight="1" thickBot="1" x14ac:dyDescent="0.25">
      <c r="B128" s="23"/>
      <c r="C128" s="23" t="s">
        <v>116</v>
      </c>
      <c r="E128" s="312"/>
      <c r="F128" s="239"/>
      <c r="G128" s="201" t="s">
        <v>2</v>
      </c>
      <c r="H128" s="314"/>
      <c r="I128" s="300"/>
      <c r="J128" s="300"/>
      <c r="K128" s="300"/>
      <c r="L128" s="300"/>
      <c r="M128" s="302"/>
    </row>
    <row r="129" spans="2:13" ht="16" customHeight="1" x14ac:dyDescent="0.2">
      <c r="B129" s="23"/>
      <c r="C129" s="23" t="s">
        <v>129</v>
      </c>
      <c r="E129" s="158" t="s">
        <v>53</v>
      </c>
      <c r="F129" s="202"/>
      <c r="G129" s="202">
        <v>0.5</v>
      </c>
      <c r="H129" s="67"/>
      <c r="I129" s="68">
        <f t="shared" ref="I129:M132" si="26">$G129*I$127</f>
        <v>6</v>
      </c>
      <c r="J129" s="68">
        <f t="shared" si="26"/>
        <v>8</v>
      </c>
      <c r="K129" s="68">
        <f t="shared" si="26"/>
        <v>16</v>
      </c>
      <c r="L129" s="68">
        <f t="shared" si="26"/>
        <v>32</v>
      </c>
      <c r="M129" s="69" t="e">
        <f t="shared" si="26"/>
        <v>#VALUE!</v>
      </c>
    </row>
    <row r="130" spans="2:13" ht="16" customHeight="1" x14ac:dyDescent="0.2">
      <c r="B130" s="23"/>
      <c r="C130" s="23" t="s">
        <v>186</v>
      </c>
      <c r="E130" s="158" t="s">
        <v>56</v>
      </c>
      <c r="F130" s="202"/>
      <c r="G130" s="202">
        <v>2.5</v>
      </c>
      <c r="H130" s="67"/>
      <c r="I130" s="68">
        <f t="shared" si="26"/>
        <v>30</v>
      </c>
      <c r="J130" s="68">
        <f t="shared" si="26"/>
        <v>40</v>
      </c>
      <c r="K130" s="68">
        <f t="shared" si="26"/>
        <v>80</v>
      </c>
      <c r="L130" s="68">
        <f t="shared" si="26"/>
        <v>160</v>
      </c>
      <c r="M130" s="69" t="e">
        <f t="shared" si="26"/>
        <v>#VALUE!</v>
      </c>
    </row>
    <row r="131" spans="2:13" ht="16" customHeight="1" x14ac:dyDescent="0.2">
      <c r="E131" s="159" t="s">
        <v>55</v>
      </c>
      <c r="F131" s="240"/>
      <c r="G131" s="203">
        <v>2.5</v>
      </c>
      <c r="H131" s="71"/>
      <c r="I131" s="70">
        <f t="shared" si="26"/>
        <v>30</v>
      </c>
      <c r="J131" s="70">
        <f t="shared" si="26"/>
        <v>40</v>
      </c>
      <c r="K131" s="70">
        <f t="shared" si="26"/>
        <v>80</v>
      </c>
      <c r="L131" s="70">
        <f t="shared" si="26"/>
        <v>160</v>
      </c>
      <c r="M131" s="72" t="e">
        <f t="shared" si="26"/>
        <v>#VALUE!</v>
      </c>
    </row>
    <row r="132" spans="2:13" ht="16" customHeight="1" x14ac:dyDescent="0.2">
      <c r="B132" s="20" t="s">
        <v>194</v>
      </c>
      <c r="C132" s="20"/>
      <c r="E132" s="276" t="s">
        <v>26</v>
      </c>
      <c r="F132" s="242"/>
      <c r="G132" s="206">
        <v>5.5</v>
      </c>
      <c r="H132" s="74"/>
      <c r="I132" s="73">
        <f t="shared" si="26"/>
        <v>66</v>
      </c>
      <c r="J132" s="73">
        <f t="shared" si="26"/>
        <v>88</v>
      </c>
      <c r="K132" s="73">
        <f t="shared" si="26"/>
        <v>176</v>
      </c>
      <c r="L132" s="73">
        <f t="shared" si="26"/>
        <v>352</v>
      </c>
      <c r="M132" s="75" t="e">
        <f t="shared" si="26"/>
        <v>#VALUE!</v>
      </c>
    </row>
    <row r="133" spans="2:13" ht="16" customHeight="1" x14ac:dyDescent="0.2">
      <c r="B133" s="20"/>
      <c r="C133" s="20" t="s">
        <v>170</v>
      </c>
      <c r="E133" s="114" t="s">
        <v>211</v>
      </c>
      <c r="F133" s="227"/>
      <c r="G133" s="114"/>
      <c r="H133" s="18"/>
      <c r="I133" s="19"/>
      <c r="J133" s="19"/>
      <c r="K133" s="19"/>
      <c r="L133" s="19"/>
      <c r="M133" s="19"/>
    </row>
    <row r="134" spans="2:13" ht="16" customHeight="1" x14ac:dyDescent="0.2">
      <c r="B134" s="20"/>
      <c r="C134" s="20" t="s">
        <v>123</v>
      </c>
      <c r="E134" s="199"/>
      <c r="F134" s="243"/>
      <c r="G134" s="199"/>
      <c r="H134" s="7"/>
      <c r="I134" s="8"/>
      <c r="J134" s="8"/>
      <c r="K134" s="8"/>
      <c r="L134" s="8"/>
      <c r="M134" s="8"/>
    </row>
    <row r="135" spans="2:13" ht="16" customHeight="1" thickBot="1" x14ac:dyDescent="0.25">
      <c r="B135" s="20"/>
      <c r="C135" s="20" t="s">
        <v>117</v>
      </c>
      <c r="E135" s="277" t="s">
        <v>73</v>
      </c>
      <c r="F135" s="64"/>
      <c r="G135" s="207" t="s">
        <v>47</v>
      </c>
      <c r="H135" s="81"/>
      <c r="I135" s="64"/>
      <c r="J135" s="64"/>
      <c r="K135" s="64"/>
      <c r="L135" s="64"/>
      <c r="M135" s="82"/>
    </row>
    <row r="136" spans="2:13" ht="16" customHeight="1" x14ac:dyDescent="0.2">
      <c r="B136" s="20"/>
      <c r="C136" s="20" t="s">
        <v>171</v>
      </c>
      <c r="E136" s="303" t="s">
        <v>0</v>
      </c>
      <c r="F136" s="244" t="s">
        <v>204</v>
      </c>
      <c r="G136" s="208" t="s">
        <v>1</v>
      </c>
      <c r="H136" s="305" t="s">
        <v>160</v>
      </c>
      <c r="I136" s="307">
        <f>I$1</f>
        <v>12</v>
      </c>
      <c r="J136" s="307">
        <f t="shared" ref="J136:M136" si="27">J$1</f>
        <v>16</v>
      </c>
      <c r="K136" s="307">
        <f t="shared" si="27"/>
        <v>32</v>
      </c>
      <c r="L136" s="307">
        <f t="shared" si="27"/>
        <v>64</v>
      </c>
      <c r="M136" s="309" t="str">
        <f t="shared" si="27"/>
        <v>CUSTOM VALUE</v>
      </c>
    </row>
    <row r="137" spans="2:13" ht="16" customHeight="1" thickBot="1" x14ac:dyDescent="0.25">
      <c r="B137" s="20"/>
      <c r="C137" s="20" t="s">
        <v>173</v>
      </c>
      <c r="E137" s="304"/>
      <c r="F137" s="245" t="s">
        <v>205</v>
      </c>
      <c r="G137" s="209" t="s">
        <v>2</v>
      </c>
      <c r="H137" s="306"/>
      <c r="I137" s="308"/>
      <c r="J137" s="308"/>
      <c r="K137" s="308"/>
      <c r="L137" s="308"/>
      <c r="M137" s="310"/>
    </row>
    <row r="138" spans="2:13" ht="16" customHeight="1" x14ac:dyDescent="0.2">
      <c r="B138" s="20"/>
      <c r="C138" s="20" t="s">
        <v>118</v>
      </c>
      <c r="E138" s="261" t="s">
        <v>72</v>
      </c>
      <c r="F138" s="86">
        <v>10000</v>
      </c>
      <c r="G138" s="210">
        <f>3*185*F138/SUM(F138:F140)</f>
        <v>111</v>
      </c>
      <c r="H138" s="87"/>
      <c r="I138" s="88">
        <f t="shared" ref="I138:M141" si="28">$G138*I$136</f>
        <v>1332</v>
      </c>
      <c r="J138" s="88">
        <f t="shared" si="28"/>
        <v>1776</v>
      </c>
      <c r="K138" s="88">
        <f t="shared" si="28"/>
        <v>3552</v>
      </c>
      <c r="L138" s="88">
        <f t="shared" si="28"/>
        <v>7104</v>
      </c>
      <c r="M138" s="89" t="e">
        <f t="shared" si="28"/>
        <v>#VALUE!</v>
      </c>
    </row>
    <row r="139" spans="2:13" ht="16" customHeight="1" x14ac:dyDescent="0.2">
      <c r="B139" s="20"/>
      <c r="C139" s="20"/>
      <c r="E139" s="278" t="s">
        <v>50</v>
      </c>
      <c r="F139" s="86">
        <v>400</v>
      </c>
      <c r="G139" s="210">
        <v>4.4400000000000004</v>
      </c>
      <c r="H139" s="87"/>
      <c r="I139" s="88">
        <f t="shared" si="28"/>
        <v>53.28</v>
      </c>
      <c r="J139" s="88">
        <f t="shared" si="28"/>
        <v>71.040000000000006</v>
      </c>
      <c r="K139" s="88">
        <f t="shared" si="28"/>
        <v>142.08000000000001</v>
      </c>
      <c r="L139" s="88">
        <f t="shared" si="28"/>
        <v>284.16000000000003</v>
      </c>
      <c r="M139" s="89" t="e">
        <f t="shared" si="28"/>
        <v>#VALUE!</v>
      </c>
    </row>
    <row r="140" spans="2:13" ht="16" customHeight="1" x14ac:dyDescent="0.2">
      <c r="B140" s="20"/>
      <c r="C140" s="65" t="s">
        <v>119</v>
      </c>
      <c r="E140" s="279" t="s">
        <v>13</v>
      </c>
      <c r="F140" s="90">
        <v>39600</v>
      </c>
      <c r="G140" s="210">
        <v>439.56</v>
      </c>
      <c r="H140" s="91"/>
      <c r="I140" s="92">
        <f t="shared" si="28"/>
        <v>5274.72</v>
      </c>
      <c r="J140" s="92">
        <f t="shared" si="28"/>
        <v>7032.96</v>
      </c>
      <c r="K140" s="92">
        <f t="shared" si="28"/>
        <v>14065.92</v>
      </c>
      <c r="L140" s="92">
        <f t="shared" si="28"/>
        <v>28131.84</v>
      </c>
      <c r="M140" s="93" t="e">
        <f t="shared" si="28"/>
        <v>#VALUE!</v>
      </c>
    </row>
    <row r="141" spans="2:13" ht="16" customHeight="1" x14ac:dyDescent="0.2">
      <c r="B141" s="20"/>
      <c r="C141" s="20" t="s">
        <v>120</v>
      </c>
      <c r="E141" s="280" t="s">
        <v>26</v>
      </c>
      <c r="F141" s="84">
        <v>50000</v>
      </c>
      <c r="G141" s="211">
        <f>185*3</f>
        <v>555</v>
      </c>
      <c r="H141" s="85"/>
      <c r="I141" s="80">
        <f t="shared" si="28"/>
        <v>6660</v>
      </c>
      <c r="J141" s="80">
        <f t="shared" si="28"/>
        <v>8880</v>
      </c>
      <c r="K141" s="80">
        <f t="shared" si="28"/>
        <v>17760</v>
      </c>
      <c r="L141" s="80">
        <f t="shared" si="28"/>
        <v>35520</v>
      </c>
      <c r="M141" s="83" t="e">
        <f t="shared" si="28"/>
        <v>#VALUE!</v>
      </c>
    </row>
    <row r="142" spans="2:13" ht="16" customHeight="1" x14ac:dyDescent="0.2">
      <c r="B142" s="20"/>
      <c r="C142" s="20" t="s">
        <v>121</v>
      </c>
      <c r="E142" s="114" t="s">
        <v>215</v>
      </c>
      <c r="F142" s="227"/>
      <c r="G142" s="114"/>
      <c r="H142" s="18"/>
      <c r="I142" s="19"/>
      <c r="J142" s="19"/>
      <c r="K142" s="19"/>
      <c r="L142" s="19"/>
      <c r="M142" s="19"/>
    </row>
    <row r="143" spans="2:13" ht="16" customHeight="1" x14ac:dyDescent="0.2">
      <c r="B143" s="20"/>
      <c r="C143" s="20" t="s">
        <v>122</v>
      </c>
      <c r="E143" s="199"/>
      <c r="F143" s="16"/>
      <c r="G143" s="184"/>
      <c r="H143" s="15"/>
      <c r="I143" s="8"/>
      <c r="J143" s="8"/>
      <c r="K143" s="8"/>
      <c r="M143" s="8"/>
    </row>
    <row r="144" spans="2:13" ht="16" customHeight="1" thickBot="1" x14ac:dyDescent="0.25">
      <c r="B144" s="20"/>
      <c r="C144" s="20" t="s">
        <v>174</v>
      </c>
      <c r="E144" s="260" t="s">
        <v>14</v>
      </c>
      <c r="F144" s="94"/>
      <c r="G144" s="174" t="s">
        <v>1</v>
      </c>
      <c r="H144" s="15"/>
      <c r="I144" s="137" t="s">
        <v>130</v>
      </c>
      <c r="J144" s="115"/>
      <c r="K144" s="115"/>
      <c r="L144" s="138"/>
      <c r="M144" s="16"/>
    </row>
    <row r="145" spans="2:13" ht="16" customHeight="1" x14ac:dyDescent="0.2">
      <c r="B145" s="20"/>
      <c r="C145" s="66" t="s">
        <v>188</v>
      </c>
      <c r="E145" s="278" t="s">
        <v>71</v>
      </c>
      <c r="F145" s="246"/>
      <c r="G145" s="212">
        <v>30</v>
      </c>
      <c r="H145" s="7"/>
      <c r="I145" s="139" t="s">
        <v>131</v>
      </c>
      <c r="J145" s="136"/>
      <c r="K145" s="136"/>
      <c r="L145" s="126"/>
      <c r="M145" s="8"/>
    </row>
    <row r="146" spans="2:13" ht="16" customHeight="1" x14ac:dyDescent="0.2">
      <c r="E146" s="261" t="s">
        <v>70</v>
      </c>
      <c r="F146" s="62"/>
      <c r="G146" s="175">
        <v>670</v>
      </c>
      <c r="H146" s="15"/>
      <c r="I146" s="139" t="s">
        <v>132</v>
      </c>
      <c r="J146" s="119"/>
      <c r="K146" s="119"/>
      <c r="L146" s="120"/>
      <c r="M146" s="16"/>
    </row>
    <row r="147" spans="2:13" ht="16" customHeight="1" x14ac:dyDescent="0.2">
      <c r="B147" s="108" t="s">
        <v>206</v>
      </c>
      <c r="C147" s="109"/>
      <c r="E147" s="281" t="s">
        <v>75</v>
      </c>
      <c r="F147" s="63"/>
      <c r="G147" s="213">
        <v>30</v>
      </c>
      <c r="H147" s="15"/>
      <c r="I147" s="140" t="s">
        <v>133</v>
      </c>
      <c r="J147" s="134"/>
      <c r="K147" s="134"/>
      <c r="L147" s="135"/>
      <c r="M147" s="16"/>
    </row>
    <row r="148" spans="2:13" ht="16" customHeight="1" x14ac:dyDescent="0.2">
      <c r="E148" s="184"/>
      <c r="F148" s="16"/>
      <c r="G148" s="184"/>
      <c r="H148" s="15"/>
      <c r="I148" s="16"/>
      <c r="J148" s="16"/>
      <c r="K148" s="16"/>
      <c r="L148" s="16"/>
      <c r="M148" s="16"/>
    </row>
    <row r="149" spans="2:13" ht="16" customHeight="1" thickBot="1" x14ac:dyDescent="0.25">
      <c r="B149" s="30" t="s">
        <v>203</v>
      </c>
      <c r="C149" s="25"/>
      <c r="E149" s="268" t="s">
        <v>169</v>
      </c>
      <c r="F149" s="54"/>
      <c r="G149" s="187" t="s">
        <v>45</v>
      </c>
      <c r="H149" s="55"/>
      <c r="I149" s="54"/>
      <c r="J149" s="54"/>
      <c r="K149" s="54"/>
      <c r="L149" s="54"/>
      <c r="M149" s="56"/>
    </row>
    <row r="150" spans="2:13" ht="16" customHeight="1" x14ac:dyDescent="0.2">
      <c r="E150" s="295" t="s">
        <v>0</v>
      </c>
      <c r="F150" s="247"/>
      <c r="G150" s="157" t="s">
        <v>1</v>
      </c>
      <c r="H150" s="297" t="s">
        <v>160</v>
      </c>
      <c r="I150" s="291">
        <f>I$1+1</f>
        <v>13</v>
      </c>
      <c r="J150" s="291">
        <f>J$1+1</f>
        <v>17</v>
      </c>
      <c r="K150" s="291">
        <f>K$1+1</f>
        <v>33</v>
      </c>
      <c r="L150" s="291">
        <f>L$1+1</f>
        <v>65</v>
      </c>
      <c r="M150" s="293" t="e">
        <f>M$1+1</f>
        <v>#VALUE!</v>
      </c>
    </row>
    <row r="151" spans="2:13" ht="16" customHeight="1" thickBot="1" x14ac:dyDescent="0.25">
      <c r="B151" s="20" t="s">
        <v>168</v>
      </c>
      <c r="C151" s="20"/>
      <c r="E151" s="296"/>
      <c r="F151" s="248"/>
      <c r="G151" s="214" t="s">
        <v>2</v>
      </c>
      <c r="H151" s="298"/>
      <c r="I151" s="292"/>
      <c r="J151" s="292"/>
      <c r="K151" s="292"/>
      <c r="L151" s="292"/>
      <c r="M151" s="294"/>
    </row>
    <row r="152" spans="2:13" ht="16" customHeight="1" x14ac:dyDescent="0.2">
      <c r="E152" s="269" t="s">
        <v>64</v>
      </c>
      <c r="F152" s="232" t="s">
        <v>61</v>
      </c>
      <c r="G152" s="190">
        <v>25</v>
      </c>
      <c r="H152" s="26"/>
      <c r="I152" s="46">
        <f t="shared" ref="I152:M156" si="29">$G152*I$150</f>
        <v>325</v>
      </c>
      <c r="J152" s="46">
        <f t="shared" si="29"/>
        <v>425</v>
      </c>
      <c r="K152" s="46">
        <f t="shared" si="29"/>
        <v>825</v>
      </c>
      <c r="L152" s="46">
        <f t="shared" si="29"/>
        <v>1625</v>
      </c>
      <c r="M152" s="47" t="e">
        <f t="shared" si="29"/>
        <v>#VALUE!</v>
      </c>
    </row>
    <row r="153" spans="2:13" ht="16" customHeight="1" x14ac:dyDescent="0.2">
      <c r="B153" s="28" t="s">
        <v>176</v>
      </c>
      <c r="C153" s="28"/>
      <c r="E153" s="269" t="s">
        <v>23</v>
      </c>
      <c r="F153" s="232" t="s">
        <v>24</v>
      </c>
      <c r="G153" s="190">
        <v>1.5</v>
      </c>
      <c r="H153" s="26"/>
      <c r="I153" s="46">
        <f t="shared" si="29"/>
        <v>19.5</v>
      </c>
      <c r="J153" s="46">
        <f t="shared" si="29"/>
        <v>25.5</v>
      </c>
      <c r="K153" s="46">
        <f t="shared" si="29"/>
        <v>49.5</v>
      </c>
      <c r="L153" s="46">
        <f t="shared" si="29"/>
        <v>97.5</v>
      </c>
      <c r="M153" s="47" t="e">
        <f t="shared" si="29"/>
        <v>#VALUE!</v>
      </c>
    </row>
    <row r="154" spans="2:13" ht="16" customHeight="1" x14ac:dyDescent="0.2">
      <c r="E154" s="269" t="s">
        <v>25</v>
      </c>
      <c r="F154" s="232" t="s">
        <v>24</v>
      </c>
      <c r="G154" s="190">
        <v>1.5</v>
      </c>
      <c r="H154" s="26"/>
      <c r="I154" s="46">
        <f t="shared" si="29"/>
        <v>19.5</v>
      </c>
      <c r="J154" s="46">
        <f t="shared" si="29"/>
        <v>25.5</v>
      </c>
      <c r="K154" s="46">
        <f t="shared" si="29"/>
        <v>49.5</v>
      </c>
      <c r="L154" s="46">
        <f t="shared" si="29"/>
        <v>97.5</v>
      </c>
      <c r="M154" s="47" t="e">
        <f t="shared" si="29"/>
        <v>#VALUE!</v>
      </c>
    </row>
    <row r="155" spans="2:13" ht="16" customHeight="1" x14ac:dyDescent="0.2">
      <c r="B155" s="23" t="s">
        <v>115</v>
      </c>
      <c r="C155" s="23"/>
      <c r="E155" s="269" t="s">
        <v>13</v>
      </c>
      <c r="F155" s="232"/>
      <c r="G155" s="190">
        <v>7</v>
      </c>
      <c r="H155" s="26"/>
      <c r="I155" s="46">
        <f t="shared" si="29"/>
        <v>91</v>
      </c>
      <c r="J155" s="46">
        <f t="shared" si="29"/>
        <v>119</v>
      </c>
      <c r="K155" s="46">
        <f t="shared" si="29"/>
        <v>231</v>
      </c>
      <c r="L155" s="46">
        <f t="shared" si="29"/>
        <v>455</v>
      </c>
      <c r="M155" s="47" t="e">
        <f t="shared" si="29"/>
        <v>#VALUE!</v>
      </c>
    </row>
    <row r="156" spans="2:13" ht="16" customHeight="1" x14ac:dyDescent="0.2">
      <c r="E156" s="271" t="s">
        <v>184</v>
      </c>
      <c r="F156" s="234"/>
      <c r="G156" s="215">
        <v>35</v>
      </c>
      <c r="H156" s="95"/>
      <c r="I156" s="60">
        <f t="shared" si="29"/>
        <v>455</v>
      </c>
      <c r="J156" s="60">
        <f t="shared" si="29"/>
        <v>595</v>
      </c>
      <c r="K156" s="60">
        <f t="shared" si="29"/>
        <v>1155</v>
      </c>
      <c r="L156" s="60">
        <f t="shared" si="29"/>
        <v>2275</v>
      </c>
      <c r="M156" s="61" t="e">
        <f t="shared" si="29"/>
        <v>#VALUE!</v>
      </c>
    </row>
    <row r="157" spans="2:13" ht="16" customHeight="1" x14ac:dyDescent="0.2">
      <c r="B157" s="23" t="s">
        <v>97</v>
      </c>
      <c r="C157" s="23"/>
      <c r="E157" s="270" t="s">
        <v>66</v>
      </c>
      <c r="F157" s="233"/>
      <c r="G157" s="191">
        <v>15</v>
      </c>
      <c r="H157" s="49"/>
      <c r="I157" s="48"/>
      <c r="J157" s="48"/>
      <c r="K157" s="48"/>
      <c r="L157" s="48"/>
      <c r="M157" s="50"/>
    </row>
    <row r="158" spans="2:13" ht="16" customHeight="1" x14ac:dyDescent="0.2">
      <c r="E158" s="273" t="s">
        <v>185</v>
      </c>
      <c r="F158" s="96"/>
      <c r="G158" s="216">
        <v>50</v>
      </c>
      <c r="H158" s="97"/>
      <c r="I158" s="96"/>
      <c r="J158" s="96"/>
      <c r="K158" s="96"/>
      <c r="L158" s="96"/>
      <c r="M158" s="98"/>
    </row>
    <row r="159" spans="2:13" ht="16" customHeight="1" x14ac:dyDescent="0.2">
      <c r="B159" s="20" t="s">
        <v>195</v>
      </c>
      <c r="C159" s="20"/>
      <c r="E159" s="184"/>
      <c r="F159" s="16"/>
      <c r="G159" s="184"/>
      <c r="H159" s="15"/>
      <c r="I159" s="16"/>
      <c r="J159" s="16"/>
      <c r="K159" s="16"/>
      <c r="L159" s="16"/>
      <c r="M159" s="16"/>
    </row>
    <row r="160" spans="2:13" ht="16" customHeight="1" thickBot="1" x14ac:dyDescent="0.25">
      <c r="E160" s="268" t="s">
        <v>98</v>
      </c>
      <c r="F160" s="54"/>
      <c r="G160" s="187" t="s">
        <v>45</v>
      </c>
      <c r="H160" s="55"/>
      <c r="I160" s="54"/>
      <c r="J160" s="54"/>
      <c r="K160" s="54"/>
      <c r="L160" s="54"/>
      <c r="M160" s="56"/>
    </row>
    <row r="161" spans="2:14" ht="16" customHeight="1" x14ac:dyDescent="0.2">
      <c r="B161" s="25" t="s">
        <v>197</v>
      </c>
      <c r="C161" s="26"/>
      <c r="E161" s="295" t="s">
        <v>0</v>
      </c>
      <c r="F161" s="247"/>
      <c r="G161" s="157" t="s">
        <v>1</v>
      </c>
      <c r="H161" s="297" t="s">
        <v>160</v>
      </c>
      <c r="I161" s="291">
        <f>I$1+1</f>
        <v>13</v>
      </c>
      <c r="J161" s="291">
        <f>J$1+1</f>
        <v>17</v>
      </c>
      <c r="K161" s="291">
        <f>K$1+1</f>
        <v>33</v>
      </c>
      <c r="L161" s="291">
        <f>L$1+1</f>
        <v>65</v>
      </c>
      <c r="M161" s="293" t="e">
        <f>M$1+1</f>
        <v>#VALUE!</v>
      </c>
    </row>
    <row r="162" spans="2:14" ht="16" customHeight="1" thickBot="1" x14ac:dyDescent="0.25">
      <c r="B162" s="25"/>
      <c r="C162" s="25" t="s">
        <v>145</v>
      </c>
      <c r="E162" s="296"/>
      <c r="F162" s="248"/>
      <c r="G162" s="214" t="s">
        <v>2</v>
      </c>
      <c r="H162" s="298"/>
      <c r="I162" s="292"/>
      <c r="J162" s="292"/>
      <c r="K162" s="292"/>
      <c r="L162" s="292"/>
      <c r="M162" s="294"/>
    </row>
    <row r="163" spans="2:14" ht="16" customHeight="1" x14ac:dyDescent="0.2">
      <c r="B163" s="25"/>
      <c r="C163" s="25" t="s">
        <v>201</v>
      </c>
      <c r="E163" s="269" t="s">
        <v>64</v>
      </c>
      <c r="F163" s="232" t="s">
        <v>61</v>
      </c>
      <c r="G163" s="190">
        <v>25</v>
      </c>
      <c r="H163" s="26"/>
      <c r="I163" s="46">
        <f t="shared" ref="I163:M166" si="30">$G163*I$161</f>
        <v>325</v>
      </c>
      <c r="J163" s="46">
        <f t="shared" si="30"/>
        <v>425</v>
      </c>
      <c r="K163" s="46">
        <f t="shared" si="30"/>
        <v>825</v>
      </c>
      <c r="L163" s="46">
        <f t="shared" si="30"/>
        <v>1625</v>
      </c>
      <c r="M163" s="47" t="e">
        <f t="shared" si="30"/>
        <v>#VALUE!</v>
      </c>
    </row>
    <row r="164" spans="2:14" ht="16" customHeight="1" x14ac:dyDescent="0.2">
      <c r="B164" s="25"/>
      <c r="C164" s="25" t="s">
        <v>202</v>
      </c>
      <c r="E164" s="269" t="s">
        <v>76</v>
      </c>
      <c r="F164" s="232" t="s">
        <v>77</v>
      </c>
      <c r="G164" s="190">
        <v>1</v>
      </c>
      <c r="H164" s="26"/>
      <c r="I164" s="46">
        <f t="shared" si="30"/>
        <v>13</v>
      </c>
      <c r="J164" s="46">
        <f t="shared" si="30"/>
        <v>17</v>
      </c>
      <c r="K164" s="46">
        <f t="shared" si="30"/>
        <v>33</v>
      </c>
      <c r="L164" s="46">
        <f t="shared" si="30"/>
        <v>65</v>
      </c>
      <c r="M164" s="47" t="e">
        <f t="shared" si="30"/>
        <v>#VALUE!</v>
      </c>
    </row>
    <row r="165" spans="2:14" ht="16" customHeight="1" x14ac:dyDescent="0.2">
      <c r="B165" s="25"/>
      <c r="C165" s="25" t="s">
        <v>158</v>
      </c>
      <c r="E165" s="269" t="s">
        <v>13</v>
      </c>
      <c r="F165" s="232"/>
      <c r="G165" s="190">
        <v>8</v>
      </c>
      <c r="H165" s="26"/>
      <c r="I165" s="46">
        <f t="shared" si="30"/>
        <v>104</v>
      </c>
      <c r="J165" s="46">
        <f t="shared" si="30"/>
        <v>136</v>
      </c>
      <c r="K165" s="46">
        <f t="shared" si="30"/>
        <v>264</v>
      </c>
      <c r="L165" s="46">
        <f t="shared" si="30"/>
        <v>520</v>
      </c>
      <c r="M165" s="47" t="e">
        <f t="shared" si="30"/>
        <v>#VALUE!</v>
      </c>
    </row>
    <row r="166" spans="2:14" ht="16" customHeight="1" x14ac:dyDescent="0.2">
      <c r="B166" s="25"/>
      <c r="C166" s="156" t="s">
        <v>243</v>
      </c>
      <c r="E166" s="271" t="s">
        <v>184</v>
      </c>
      <c r="F166" s="234"/>
      <c r="G166" s="215">
        <v>34</v>
      </c>
      <c r="H166" s="95"/>
      <c r="I166" s="60">
        <f t="shared" si="30"/>
        <v>442</v>
      </c>
      <c r="J166" s="60">
        <f t="shared" si="30"/>
        <v>578</v>
      </c>
      <c r="K166" s="60">
        <f t="shared" si="30"/>
        <v>1122</v>
      </c>
      <c r="L166" s="60">
        <f t="shared" si="30"/>
        <v>2210</v>
      </c>
      <c r="M166" s="61" t="e">
        <f t="shared" si="30"/>
        <v>#VALUE!</v>
      </c>
    </row>
    <row r="167" spans="2:14" ht="16" customHeight="1" x14ac:dyDescent="0.2">
      <c r="B167" s="25"/>
      <c r="C167" s="25" t="s">
        <v>126</v>
      </c>
      <c r="E167" s="282" t="s">
        <v>66</v>
      </c>
      <c r="F167" s="102"/>
      <c r="G167" s="217">
        <v>15</v>
      </c>
      <c r="H167" s="103"/>
      <c r="I167" s="102"/>
      <c r="J167" s="102"/>
      <c r="K167" s="102"/>
      <c r="L167" s="102"/>
      <c r="M167" s="104"/>
      <c r="N167" s="16"/>
    </row>
    <row r="168" spans="2:14" ht="16" customHeight="1" x14ac:dyDescent="0.2">
      <c r="E168" s="283" t="s">
        <v>78</v>
      </c>
      <c r="F168" s="105"/>
      <c r="G168" s="218">
        <v>1</v>
      </c>
      <c r="H168" s="106"/>
      <c r="I168" s="105"/>
      <c r="J168" s="105"/>
      <c r="K168" s="105"/>
      <c r="L168" s="105"/>
      <c r="M168" s="107"/>
      <c r="N168" s="16"/>
    </row>
    <row r="169" spans="2:14" ht="16" customHeight="1" x14ac:dyDescent="0.2">
      <c r="B169" s="20" t="s">
        <v>231</v>
      </c>
      <c r="C169" s="20"/>
      <c r="E169" s="273" t="s">
        <v>185</v>
      </c>
      <c r="F169" s="99"/>
      <c r="G169" s="219">
        <v>50</v>
      </c>
      <c r="H169" s="100"/>
      <c r="I169" s="99"/>
      <c r="J169" s="99"/>
      <c r="K169" s="99"/>
      <c r="L169" s="99"/>
      <c r="M169" s="101"/>
      <c r="N169" s="16"/>
    </row>
    <row r="170" spans="2:14" ht="16" customHeight="1" x14ac:dyDescent="0.2">
      <c r="D170" s="10"/>
      <c r="F170" s="173"/>
      <c r="H170" s="15"/>
      <c r="I170" s="16"/>
      <c r="J170" s="16"/>
      <c r="K170" s="16"/>
      <c r="L170" s="16"/>
      <c r="M170" s="16"/>
      <c r="N170" s="16"/>
    </row>
    <row r="171" spans="2:14" ht="16" customHeight="1" x14ac:dyDescent="0.2">
      <c r="B171" s="28" t="s">
        <v>176</v>
      </c>
      <c r="C171" s="28"/>
      <c r="D171" s="10"/>
      <c r="F171" s="173"/>
      <c r="H171" s="15"/>
      <c r="I171" s="16"/>
      <c r="J171" s="16"/>
      <c r="K171" s="16"/>
      <c r="L171" s="16"/>
      <c r="M171" s="16"/>
      <c r="N171" s="16"/>
    </row>
    <row r="172" spans="2:14" ht="16" customHeight="1" x14ac:dyDescent="0.2">
      <c r="D172" s="10"/>
      <c r="F172" s="173"/>
      <c r="H172" s="15"/>
      <c r="I172" s="16"/>
      <c r="J172" s="16"/>
      <c r="K172" s="16"/>
      <c r="L172" s="16"/>
      <c r="M172" s="16"/>
      <c r="N172" s="16"/>
    </row>
    <row r="173" spans="2:14" ht="16" customHeight="1" x14ac:dyDescent="0.2">
      <c r="B173" s="28" t="s">
        <v>177</v>
      </c>
      <c r="C173" s="29"/>
      <c r="D173" s="10"/>
      <c r="F173" s="173"/>
      <c r="H173" s="15"/>
      <c r="I173" s="16"/>
      <c r="J173" s="16"/>
      <c r="K173" s="16"/>
      <c r="L173" s="16"/>
      <c r="M173" s="16"/>
      <c r="N173" s="16"/>
    </row>
    <row r="174" spans="2:14" ht="16" customHeight="1" x14ac:dyDescent="0.2">
      <c r="B174" s="28"/>
      <c r="C174" s="29" t="s">
        <v>236</v>
      </c>
      <c r="D174" s="10"/>
      <c r="F174" s="173"/>
      <c r="H174" s="15"/>
      <c r="I174" s="16"/>
      <c r="J174" s="16"/>
      <c r="K174" s="16"/>
      <c r="L174" s="16"/>
      <c r="M174" s="16"/>
      <c r="N174" s="16"/>
    </row>
    <row r="175" spans="2:14" ht="16" customHeight="1" x14ac:dyDescent="0.2">
      <c r="B175" s="28"/>
      <c r="C175" s="29" t="s">
        <v>235</v>
      </c>
      <c r="E175" s="184"/>
      <c r="F175" s="16"/>
      <c r="G175" s="184"/>
      <c r="H175" s="15"/>
      <c r="I175" s="16"/>
      <c r="J175" s="16"/>
      <c r="K175" s="16"/>
      <c r="L175" s="17"/>
      <c r="M175" s="17"/>
      <c r="N175" s="17"/>
    </row>
    <row r="176" spans="2:14" ht="16" customHeight="1" x14ac:dyDescent="0.2">
      <c r="F176" s="173"/>
      <c r="I176" s="10"/>
      <c r="J176" s="10"/>
      <c r="K176" s="10"/>
      <c r="L176" s="10"/>
      <c r="M176" s="10"/>
      <c r="N176" s="10"/>
    </row>
    <row r="177" spans="1:14" ht="16" customHeight="1" x14ac:dyDescent="0.2">
      <c r="B177" s="28" t="s">
        <v>232</v>
      </c>
      <c r="C177" s="29"/>
      <c r="F177" s="173"/>
      <c r="I177" s="10"/>
      <c r="J177" s="10"/>
      <c r="K177" s="10"/>
      <c r="L177" s="10"/>
      <c r="M177" s="10"/>
      <c r="N177" s="10"/>
    </row>
    <row r="178" spans="1:14" ht="16" customHeight="1" x14ac:dyDescent="0.2">
      <c r="B178" s="28"/>
      <c r="C178" s="28" t="s">
        <v>238</v>
      </c>
      <c r="F178" s="173"/>
      <c r="I178" s="10"/>
      <c r="J178" s="10"/>
      <c r="K178" s="10"/>
      <c r="L178" s="10"/>
      <c r="M178" s="10"/>
      <c r="N178" s="10"/>
    </row>
    <row r="179" spans="1:14" ht="16" customHeight="1" x14ac:dyDescent="0.2">
      <c r="B179" s="28"/>
      <c r="C179" s="28" t="s">
        <v>239</v>
      </c>
      <c r="F179" s="173"/>
      <c r="I179" s="10"/>
      <c r="J179" s="10"/>
      <c r="K179" s="10"/>
      <c r="L179" s="10"/>
      <c r="M179" s="10"/>
      <c r="N179" s="10"/>
    </row>
    <row r="180" spans="1:14" ht="16" customHeight="1" x14ac:dyDescent="0.2">
      <c r="F180" s="173"/>
      <c r="I180" s="10"/>
      <c r="J180" s="10"/>
      <c r="K180" s="10"/>
      <c r="L180" s="10"/>
      <c r="M180" s="10"/>
      <c r="N180" s="10"/>
    </row>
    <row r="181" spans="1:14" ht="16" customHeight="1" x14ac:dyDescent="0.2">
      <c r="B181" s="28" t="s">
        <v>237</v>
      </c>
      <c r="C181" s="29"/>
      <c r="F181" s="173"/>
      <c r="I181" s="10"/>
      <c r="J181" s="10"/>
      <c r="K181" s="10"/>
      <c r="L181" s="10"/>
      <c r="M181" s="10"/>
      <c r="N181" s="10"/>
    </row>
    <row r="182" spans="1:14" ht="16" customHeight="1" x14ac:dyDescent="0.2">
      <c r="B182" s="28"/>
      <c r="C182" s="29" t="s">
        <v>240</v>
      </c>
      <c r="F182" s="173"/>
      <c r="I182" s="10"/>
      <c r="J182" s="10"/>
      <c r="K182" s="10"/>
      <c r="L182" s="10"/>
      <c r="M182" s="10"/>
      <c r="N182" s="10"/>
    </row>
    <row r="183" spans="1:14" ht="16" customHeight="1" x14ac:dyDescent="0.2">
      <c r="F183" s="173"/>
      <c r="I183" s="10"/>
      <c r="J183" s="10"/>
      <c r="K183" s="10"/>
      <c r="L183" s="10"/>
      <c r="M183" s="10"/>
      <c r="N183" s="10"/>
    </row>
    <row r="184" spans="1:14" ht="16" customHeight="1" x14ac:dyDescent="0.2">
      <c r="B184" s="28" t="s">
        <v>241</v>
      </c>
      <c r="C184" s="29"/>
      <c r="F184" s="173"/>
      <c r="I184" s="10"/>
      <c r="J184" s="10"/>
      <c r="K184" s="10"/>
      <c r="L184" s="10"/>
      <c r="M184" s="10"/>
      <c r="N184" s="10"/>
    </row>
    <row r="185" spans="1:14" ht="16" customHeight="1" x14ac:dyDescent="0.2">
      <c r="F185" s="173"/>
      <c r="I185" s="10"/>
      <c r="J185" s="10"/>
      <c r="K185" s="10"/>
      <c r="L185" s="10"/>
      <c r="M185" s="10"/>
      <c r="N185" s="10"/>
    </row>
    <row r="186" spans="1:14" ht="16" customHeight="1" x14ac:dyDescent="0.2">
      <c r="B186" s="28" t="s">
        <v>233</v>
      </c>
      <c r="C186" s="29"/>
      <c r="F186" s="173"/>
      <c r="I186" s="10"/>
      <c r="J186" s="10"/>
      <c r="K186" s="10"/>
      <c r="L186" s="10"/>
      <c r="M186" s="10"/>
      <c r="N186" s="10"/>
    </row>
    <row r="187" spans="1:14" ht="16" customHeight="1" x14ac:dyDescent="0.2">
      <c r="B187" s="28"/>
      <c r="C187" s="29" t="s">
        <v>235</v>
      </c>
      <c r="F187" s="173"/>
      <c r="I187" s="10"/>
      <c r="J187" s="10"/>
      <c r="K187" s="10"/>
      <c r="L187" s="10"/>
      <c r="M187" s="10"/>
      <c r="N187" s="10"/>
    </row>
    <row r="188" spans="1:14" ht="16" customHeight="1" x14ac:dyDescent="0.2">
      <c r="F188" s="173"/>
      <c r="I188" s="10"/>
      <c r="J188" s="10"/>
      <c r="K188" s="10"/>
      <c r="L188" s="10"/>
      <c r="M188" s="10"/>
      <c r="N188" s="10"/>
    </row>
    <row r="189" spans="1:14" ht="16" customHeight="1" x14ac:dyDescent="0.2">
      <c r="A189" s="108" t="s">
        <v>234</v>
      </c>
      <c r="B189" s="154"/>
      <c r="C189" s="155"/>
      <c r="F189" s="173"/>
      <c r="I189" s="10"/>
      <c r="J189" s="10"/>
      <c r="K189" s="10"/>
      <c r="L189" s="10"/>
      <c r="M189" s="10"/>
      <c r="N189" s="10"/>
    </row>
    <row r="190" spans="1:14" ht="16" customHeight="1" x14ac:dyDescent="0.2">
      <c r="F190" s="173"/>
      <c r="I190" s="10"/>
      <c r="J190" s="10"/>
      <c r="K190" s="10"/>
      <c r="L190" s="10"/>
      <c r="M190" s="10"/>
      <c r="N190" s="10"/>
    </row>
    <row r="191" spans="1:14" ht="16" customHeight="1" x14ac:dyDescent="0.2">
      <c r="F191" s="173"/>
      <c r="I191" s="10"/>
      <c r="J191" s="10"/>
      <c r="K191" s="10"/>
      <c r="L191" s="10"/>
      <c r="M191" s="10"/>
      <c r="N191" s="10"/>
    </row>
    <row r="192" spans="1:14" ht="16" customHeight="1" x14ac:dyDescent="0.2">
      <c r="F192" s="173"/>
      <c r="I192" s="10"/>
      <c r="J192" s="10"/>
      <c r="K192" s="10"/>
      <c r="L192" s="10"/>
      <c r="M192" s="10"/>
      <c r="N192" s="10"/>
    </row>
    <row r="193" spans="6:14" ht="16" customHeight="1" x14ac:dyDescent="0.2">
      <c r="F193" s="173"/>
      <c r="I193" s="10"/>
      <c r="J193" s="10"/>
      <c r="K193" s="10"/>
      <c r="L193" s="10"/>
      <c r="M193" s="10"/>
      <c r="N193" s="10"/>
    </row>
    <row r="194" spans="6:14" ht="16" customHeight="1" x14ac:dyDescent="0.2">
      <c r="F194" s="173"/>
      <c r="I194" s="10"/>
      <c r="J194" s="10"/>
      <c r="K194" s="10"/>
      <c r="L194" s="10"/>
      <c r="M194" s="10"/>
      <c r="N194" s="10"/>
    </row>
    <row r="195" spans="6:14" ht="16" customHeight="1" x14ac:dyDescent="0.2">
      <c r="F195" s="173"/>
      <c r="I195" s="10"/>
      <c r="J195" s="10"/>
      <c r="K195" s="10"/>
      <c r="L195" s="10"/>
      <c r="M195" s="10"/>
      <c r="N195" s="10"/>
    </row>
    <row r="196" spans="6:14" ht="16" customHeight="1" x14ac:dyDescent="0.2">
      <c r="F196" s="173"/>
      <c r="I196" s="10"/>
      <c r="J196" s="10"/>
      <c r="K196" s="10"/>
      <c r="L196" s="10"/>
      <c r="M196" s="10"/>
      <c r="N196" s="10"/>
    </row>
    <row r="197" spans="6:14" ht="16" customHeight="1" x14ac:dyDescent="0.2">
      <c r="F197" s="173"/>
      <c r="I197" s="10"/>
      <c r="J197" s="10"/>
      <c r="K197" s="10"/>
      <c r="L197" s="10"/>
      <c r="M197" s="10"/>
      <c r="N197" s="10"/>
    </row>
    <row r="198" spans="6:14" ht="16" customHeight="1" x14ac:dyDescent="0.2">
      <c r="F198" s="173"/>
      <c r="I198" s="10"/>
      <c r="J198" s="10"/>
      <c r="K198" s="10"/>
      <c r="L198" s="10"/>
      <c r="M198" s="10"/>
      <c r="N198" s="10"/>
    </row>
    <row r="199" spans="6:14" ht="16" customHeight="1" x14ac:dyDescent="0.2">
      <c r="F199" s="173"/>
      <c r="I199" s="10"/>
      <c r="J199" s="10"/>
      <c r="K199" s="10"/>
      <c r="L199" s="10"/>
      <c r="M199" s="10"/>
      <c r="N199" s="10"/>
    </row>
    <row r="200" spans="6:14" ht="16" customHeight="1" x14ac:dyDescent="0.2">
      <c r="F200" s="173"/>
      <c r="I200" s="10"/>
      <c r="J200" s="10"/>
      <c r="K200" s="10"/>
      <c r="L200" s="10"/>
      <c r="M200" s="10"/>
      <c r="N200" s="10"/>
    </row>
    <row r="201" spans="6:14" ht="16" customHeight="1" x14ac:dyDescent="0.2">
      <c r="F201" s="173"/>
      <c r="I201" s="10"/>
      <c r="J201" s="10"/>
      <c r="K201" s="10"/>
      <c r="L201" s="10"/>
      <c r="M201" s="10"/>
      <c r="N201" s="10"/>
    </row>
    <row r="202" spans="6:14" ht="16" customHeight="1" x14ac:dyDescent="0.2">
      <c r="F202" s="173"/>
      <c r="I202" s="10"/>
      <c r="J202" s="10"/>
      <c r="K202" s="10"/>
      <c r="L202" s="10"/>
      <c r="M202" s="10"/>
      <c r="N202" s="10"/>
    </row>
    <row r="203" spans="6:14" ht="16" customHeight="1" x14ac:dyDescent="0.2">
      <c r="F203" s="173"/>
      <c r="I203" s="10"/>
      <c r="J203" s="10"/>
      <c r="K203" s="10"/>
      <c r="L203" s="10"/>
      <c r="M203" s="10"/>
      <c r="N203" s="10"/>
    </row>
    <row r="204" spans="6:14" ht="16" customHeight="1" x14ac:dyDescent="0.2">
      <c r="F204" s="173"/>
      <c r="I204" s="10"/>
      <c r="J204" s="10"/>
      <c r="K204" s="10"/>
      <c r="L204" s="10"/>
      <c r="M204" s="10"/>
      <c r="N204" s="10"/>
    </row>
    <row r="205" spans="6:14" ht="16" customHeight="1" x14ac:dyDescent="0.2">
      <c r="F205" s="173"/>
      <c r="I205" s="10"/>
      <c r="J205" s="10"/>
      <c r="K205" s="10"/>
      <c r="L205" s="10"/>
      <c r="M205" s="10"/>
      <c r="N205" s="10"/>
    </row>
    <row r="206" spans="6:14" ht="16" customHeight="1" x14ac:dyDescent="0.2">
      <c r="F206" s="173"/>
      <c r="I206" s="10"/>
      <c r="J206" s="10"/>
      <c r="K206" s="10"/>
      <c r="L206" s="10"/>
      <c r="M206" s="10"/>
      <c r="N206" s="10"/>
    </row>
    <row r="207" spans="6:14" ht="16" customHeight="1" x14ac:dyDescent="0.2">
      <c r="F207" s="173"/>
      <c r="I207" s="10"/>
      <c r="J207" s="10"/>
      <c r="K207" s="10"/>
      <c r="L207" s="10"/>
      <c r="M207" s="10"/>
      <c r="N207" s="10"/>
    </row>
    <row r="208" spans="6:14" ht="16" customHeight="1" x14ac:dyDescent="0.2">
      <c r="F208" s="173"/>
      <c r="I208" s="10"/>
      <c r="J208" s="10"/>
      <c r="K208" s="10"/>
      <c r="L208" s="10"/>
      <c r="M208" s="10"/>
      <c r="N208" s="10"/>
    </row>
    <row r="209" spans="6:14" ht="16" customHeight="1" x14ac:dyDescent="0.2">
      <c r="F209" s="173"/>
      <c r="I209" s="10"/>
      <c r="J209" s="10"/>
      <c r="K209" s="10"/>
      <c r="L209" s="10"/>
      <c r="M209" s="10"/>
      <c r="N209" s="10"/>
    </row>
    <row r="210" spans="6:14" ht="16" customHeight="1" x14ac:dyDescent="0.2">
      <c r="F210" s="173"/>
      <c r="I210" s="10"/>
      <c r="J210" s="10"/>
      <c r="K210" s="10"/>
      <c r="L210" s="10"/>
      <c r="M210" s="10"/>
      <c r="N210" s="10"/>
    </row>
    <row r="211" spans="6:14" ht="16" customHeight="1" x14ac:dyDescent="0.2">
      <c r="F211" s="173"/>
      <c r="I211" s="10"/>
      <c r="J211" s="10"/>
      <c r="K211" s="10"/>
      <c r="L211" s="10"/>
      <c r="M211" s="10"/>
      <c r="N211" s="10"/>
    </row>
    <row r="212" spans="6:14" ht="16" customHeight="1" x14ac:dyDescent="0.2">
      <c r="F212" s="173"/>
      <c r="I212" s="10"/>
      <c r="J212" s="10"/>
      <c r="K212" s="10"/>
      <c r="L212" s="10"/>
      <c r="M212" s="10"/>
      <c r="N212" s="10"/>
    </row>
    <row r="213" spans="6:14" ht="16" customHeight="1" x14ac:dyDescent="0.2">
      <c r="F213" s="173"/>
      <c r="I213" s="10"/>
      <c r="J213" s="10"/>
      <c r="K213" s="10"/>
      <c r="L213" s="10"/>
      <c r="M213" s="10"/>
      <c r="N213" s="10"/>
    </row>
    <row r="214" spans="6:14" ht="16" customHeight="1" x14ac:dyDescent="0.2">
      <c r="F214" s="173"/>
      <c r="I214" s="10"/>
      <c r="J214" s="10"/>
      <c r="K214" s="10"/>
      <c r="L214" s="10"/>
      <c r="M214" s="10"/>
      <c r="N214" s="10"/>
    </row>
    <row r="215" spans="6:14" ht="16" customHeight="1" x14ac:dyDescent="0.2">
      <c r="F215" s="173"/>
      <c r="I215" s="10"/>
      <c r="J215" s="10"/>
      <c r="K215" s="10"/>
      <c r="L215" s="10"/>
      <c r="M215" s="10"/>
      <c r="N215" s="10"/>
    </row>
    <row r="216" spans="6:14" ht="16" customHeight="1" x14ac:dyDescent="0.2">
      <c r="F216" s="173"/>
      <c r="I216" s="10"/>
      <c r="J216" s="10"/>
      <c r="K216" s="10"/>
      <c r="L216" s="10"/>
      <c r="M216" s="10"/>
      <c r="N216" s="10"/>
    </row>
    <row r="217" spans="6:14" ht="16" customHeight="1" x14ac:dyDescent="0.2">
      <c r="F217" s="173"/>
      <c r="I217" s="10"/>
      <c r="J217" s="10"/>
      <c r="K217" s="10"/>
      <c r="L217" s="10"/>
      <c r="M217" s="10"/>
      <c r="N217" s="10"/>
    </row>
    <row r="218" spans="6:14" ht="16" customHeight="1" x14ac:dyDescent="0.2">
      <c r="F218" s="173"/>
      <c r="I218" s="10"/>
      <c r="J218" s="10"/>
      <c r="K218" s="10"/>
      <c r="L218" s="10"/>
      <c r="M218" s="10"/>
      <c r="N218" s="10"/>
    </row>
    <row r="219" spans="6:14" ht="16" customHeight="1" x14ac:dyDescent="0.2">
      <c r="F219" s="173"/>
      <c r="I219" s="10"/>
      <c r="J219" s="10"/>
      <c r="K219" s="10"/>
      <c r="L219" s="10"/>
      <c r="M219" s="10"/>
      <c r="N219" s="10"/>
    </row>
    <row r="220" spans="6:14" ht="16" customHeight="1" x14ac:dyDescent="0.2">
      <c r="F220" s="173"/>
      <c r="I220" s="10"/>
      <c r="J220" s="10"/>
      <c r="K220" s="10"/>
      <c r="L220" s="10"/>
      <c r="M220" s="10"/>
      <c r="N220" s="10"/>
    </row>
    <row r="221" spans="6:14" ht="16" customHeight="1" x14ac:dyDescent="0.2">
      <c r="F221" s="173"/>
      <c r="I221" s="10"/>
      <c r="J221" s="10"/>
      <c r="K221" s="10"/>
      <c r="L221" s="10"/>
      <c r="M221" s="10"/>
      <c r="N221" s="10"/>
    </row>
    <row r="222" spans="6:14" ht="16" customHeight="1" x14ac:dyDescent="0.2">
      <c r="F222" s="173"/>
      <c r="I222" s="10"/>
      <c r="J222" s="10"/>
      <c r="K222" s="10"/>
      <c r="L222" s="10"/>
      <c r="M222" s="10"/>
      <c r="N222" s="10"/>
    </row>
    <row r="257" spans="72:72" ht="16" customHeight="1" x14ac:dyDescent="0.2">
      <c r="BT257" s="10" t="s">
        <v>134</v>
      </c>
    </row>
  </sheetData>
  <mergeCells count="70">
    <mergeCell ref="L161:L162"/>
    <mergeCell ref="M161:M162"/>
    <mergeCell ref="E161:E162"/>
    <mergeCell ref="H161:H162"/>
    <mergeCell ref="I161:I162"/>
    <mergeCell ref="J161:J162"/>
    <mergeCell ref="K161:K162"/>
    <mergeCell ref="M47:M48"/>
    <mergeCell ref="E47:E48"/>
    <mergeCell ref="H47:H48"/>
    <mergeCell ref="I47:I48"/>
    <mergeCell ref="J47:J48"/>
    <mergeCell ref="K47:K48"/>
    <mergeCell ref="L47:L48"/>
    <mergeCell ref="L59:L60"/>
    <mergeCell ref="M59:M60"/>
    <mergeCell ref="E70:E71"/>
    <mergeCell ref="H70:H71"/>
    <mergeCell ref="I70:I71"/>
    <mergeCell ref="J70:J71"/>
    <mergeCell ref="K70:K71"/>
    <mergeCell ref="L70:L71"/>
    <mergeCell ref="M70:M71"/>
    <mergeCell ref="E59:E60"/>
    <mergeCell ref="H59:H60"/>
    <mergeCell ref="I59:I60"/>
    <mergeCell ref="J59:J60"/>
    <mergeCell ref="K59:K60"/>
    <mergeCell ref="L80:L81"/>
    <mergeCell ref="M80:M81"/>
    <mergeCell ref="E114:E115"/>
    <mergeCell ref="H114:H115"/>
    <mergeCell ref="I114:I115"/>
    <mergeCell ref="J114:J115"/>
    <mergeCell ref="K114:K115"/>
    <mergeCell ref="L114:L115"/>
    <mergeCell ref="M114:M115"/>
    <mergeCell ref="E80:E81"/>
    <mergeCell ref="H80:H81"/>
    <mergeCell ref="I80:I81"/>
    <mergeCell ref="J80:J81"/>
    <mergeCell ref="K80:K81"/>
    <mergeCell ref="L136:L137"/>
    <mergeCell ref="M136:M137"/>
    <mergeCell ref="E127:E128"/>
    <mergeCell ref="H127:H128"/>
    <mergeCell ref="I127:I128"/>
    <mergeCell ref="J127:J128"/>
    <mergeCell ref="K127:K128"/>
    <mergeCell ref="L3:L4"/>
    <mergeCell ref="M3:M4"/>
    <mergeCell ref="L150:L151"/>
    <mergeCell ref="M150:M151"/>
    <mergeCell ref="E150:E151"/>
    <mergeCell ref="H150:H151"/>
    <mergeCell ref="I150:I151"/>
    <mergeCell ref="J150:J151"/>
    <mergeCell ref="K150:K151"/>
    <mergeCell ref="L127:L128"/>
    <mergeCell ref="M127:M128"/>
    <mergeCell ref="E136:E137"/>
    <mergeCell ref="H136:H137"/>
    <mergeCell ref="I136:I137"/>
    <mergeCell ref="J136:J137"/>
    <mergeCell ref="K136:K137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Atta</dc:creator>
  <cp:lastModifiedBy>Morris Atta</cp:lastModifiedBy>
  <cp:lastPrinted>2018-05-16T15:53:26Z</cp:lastPrinted>
  <dcterms:created xsi:type="dcterms:W3CDTF">2018-05-16T14:37:25Z</dcterms:created>
  <dcterms:modified xsi:type="dcterms:W3CDTF">2019-10-23T22:43:52Z</dcterms:modified>
</cp:coreProperties>
</file>