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reagor/grn_convnet/"/>
    </mc:Choice>
  </mc:AlternateContent>
  <xr:revisionPtr revIDLastSave="0" documentId="13_ncr:1_{A09CEBAC-9462-BA46-B629-D2D5EF85319C}" xr6:coauthVersionLast="46" xr6:coauthVersionMax="46" xr10:uidLastSave="{00000000-0000-0000-0000-000000000000}"/>
  <bookViews>
    <workbookView xWindow="2040" yWindow="-18500" windowWidth="28040" windowHeight="16220" xr2:uid="{E26B95C3-31AB-AB48-8817-B97A12D71819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F12" i="2"/>
  <c r="F11" i="2"/>
  <c r="F10" i="2"/>
  <c r="F9" i="2"/>
  <c r="X22" i="2"/>
  <c r="W12" i="2"/>
  <c r="W10" i="2"/>
  <c r="T9" i="2"/>
  <c r="P12" i="2"/>
  <c r="P10" i="2"/>
  <c r="D12" i="2"/>
  <c r="D11" i="2"/>
  <c r="P11" i="2" s="1"/>
  <c r="D10" i="2"/>
  <c r="T10" i="2" s="1"/>
  <c r="D9" i="2"/>
  <c r="W9" i="2" s="1"/>
  <c r="K9" i="2"/>
  <c r="W8" i="2"/>
  <c r="W6" i="2"/>
  <c r="W4" i="2"/>
  <c r="D15" i="2"/>
  <c r="F15" i="2" s="1"/>
  <c r="D14" i="2"/>
  <c r="L14" i="2" s="1"/>
  <c r="D13" i="2"/>
  <c r="L13" i="2" s="1"/>
  <c r="K3" i="2"/>
  <c r="D16" i="2"/>
  <c r="F16" i="2" s="1"/>
  <c r="D17" i="2"/>
  <c r="F17" i="2" s="1"/>
  <c r="D19" i="2"/>
  <c r="F19" i="2" s="1"/>
  <c r="D18" i="2"/>
  <c r="F18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X9" i="2" l="1"/>
  <c r="T7" i="2"/>
  <c r="W17" i="2"/>
  <c r="L9" i="2"/>
  <c r="T11" i="2"/>
  <c r="U9" i="2" s="1"/>
  <c r="T5" i="2"/>
  <c r="L11" i="2"/>
  <c r="T3" i="2"/>
  <c r="T4" i="2"/>
  <c r="T8" i="2"/>
  <c r="W3" i="2"/>
  <c r="W7" i="2"/>
  <c r="W19" i="2"/>
  <c r="L10" i="2"/>
  <c r="P9" i="2"/>
  <c r="Q9" i="2" s="1"/>
  <c r="T12" i="2"/>
  <c r="W11" i="2"/>
  <c r="T6" i="2"/>
  <c r="T15" i="2"/>
  <c r="U13" i="2" s="1"/>
  <c r="W5" i="2"/>
  <c r="P6" i="2"/>
  <c r="P7" i="2"/>
  <c r="P13" i="2"/>
  <c r="Q13" i="2" s="1"/>
  <c r="P3" i="2"/>
  <c r="P14" i="2"/>
  <c r="P4" i="2"/>
  <c r="P8" i="2"/>
  <c r="P16" i="2"/>
  <c r="P5" i="2"/>
  <c r="P18" i="2"/>
  <c r="F14" i="2"/>
  <c r="L17" i="2"/>
  <c r="L8" i="2"/>
  <c r="L18" i="2"/>
  <c r="L15" i="2"/>
  <c r="L4" i="2"/>
  <c r="L19" i="2"/>
  <c r="F13" i="2"/>
  <c r="L7" i="2"/>
  <c r="L5" i="2"/>
  <c r="L3" i="2"/>
  <c r="L16" i="2"/>
  <c r="L6" i="2"/>
  <c r="X3" i="2" l="1"/>
  <c r="X13" i="2"/>
  <c r="Q3" i="2"/>
  <c r="Q22" i="2" s="1"/>
  <c r="R9" i="2"/>
  <c r="U3" i="2"/>
  <c r="U22" i="2" s="1"/>
  <c r="M9" i="2"/>
  <c r="M3" i="2"/>
  <c r="M13" i="2"/>
  <c r="N9" i="2" l="1"/>
  <c r="X23" i="2"/>
  <c r="Q23" i="2"/>
  <c r="U23" i="2"/>
  <c r="R3" i="2"/>
  <c r="R13" i="2"/>
  <c r="N13" i="2"/>
  <c r="N3" i="2"/>
</calcChain>
</file>

<file path=xl/sharedStrings.xml><?xml version="1.0" encoding="utf-8"?>
<sst xmlns="http://schemas.openxmlformats.org/spreadsheetml/2006/main" count="97" uniqueCount="49">
  <si>
    <t>Type</t>
  </si>
  <si>
    <t>Synthetic</t>
  </si>
  <si>
    <t>Curated</t>
  </si>
  <si>
    <t>Experimental</t>
  </si>
  <si>
    <t>NA</t>
  </si>
  <si>
    <t>mHSC-E</t>
  </si>
  <si>
    <t>mHSC-L</t>
  </si>
  <si>
    <t>mHSC-GM</t>
  </si>
  <si>
    <t>mESC</t>
  </si>
  <si>
    <t>mDC</t>
  </si>
  <si>
    <t>hESC</t>
  </si>
  <si>
    <t>hHep</t>
  </si>
  <si>
    <t>Genes</t>
  </si>
  <si>
    <t>Examples</t>
  </si>
  <si>
    <t>dyn-linear</t>
  </si>
  <si>
    <t>dyn-linear-long</t>
  </si>
  <si>
    <t>dyn-cycle</t>
  </si>
  <si>
    <t>dyn-bifurcating</t>
  </si>
  <si>
    <t>dyn-bifurcating-converging</t>
  </si>
  <si>
    <t>dyn-trifurcating</t>
  </si>
  <si>
    <t>mCAD</t>
  </si>
  <si>
    <t>VSC</t>
  </si>
  <si>
    <t>HSC</t>
  </si>
  <si>
    <t>GSD</t>
  </si>
  <si>
    <t>Pipeline Evals</t>
  </si>
  <si>
    <t>Datasets</t>
  </si>
  <si>
    <t>Total</t>
  </si>
  <si>
    <t>Trajectories</t>
  </si>
  <si>
    <t>100, 200, 500, 2,000, 5,000</t>
  </si>
  <si>
    <t>% Total</t>
  </si>
  <si>
    <t>Model / Dataset</t>
  </si>
  <si>
    <t>TEST</t>
  </si>
  <si>
    <t>Y</t>
  </si>
  <si>
    <t>% TRUE</t>
  </si>
  <si>
    <t># Cells</t>
  </si>
  <si>
    <t>-</t>
  </si>
  <si>
    <t>% Training</t>
  </si>
  <si>
    <t>DATA SUMMARY</t>
  </si>
  <si>
    <t>NETWORK STATISTICS</t>
  </si>
  <si>
    <t>TRAINING</t>
  </si>
  <si>
    <t>VALIDATION</t>
  </si>
  <si>
    <t>Includes</t>
  </si>
  <si>
    <t>synthetic_1, synthetic_2, synthetic_3</t>
  </si>
  <si>
    <t>synthetic_4</t>
  </si>
  <si>
    <t>synthetic_5</t>
  </si>
  <si>
    <t>200, 500, 2,000</t>
  </si>
  <si>
    <t>curated_1, curated_2, curated_3</t>
  </si>
  <si>
    <t>curated_4</t>
  </si>
  <si>
    <t>curated_5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</si>
</sst>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6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25" xfId="0" applyNumberFormat="1" applyFill="1" applyBorder="1" applyAlignment="1">
      <alignment vertical="center"/>
    </xf>
    <xf numFmtId="10" fontId="0" fillId="0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6" xfId="0" applyNumberFormat="1" applyFill="1" applyBorder="1" applyAlignment="1">
      <alignment vertic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3" fontId="0" fillId="0" borderId="21" xfId="0" applyNumberFormat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10" fontId="0" fillId="0" borderId="18" xfId="0" applyNumberForma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3" fontId="0" fillId="0" borderId="26" xfId="0" applyNumberForma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vertical="center"/>
    </xf>
    <xf numFmtId="3" fontId="0" fillId="0" borderId="6" xfId="0" applyNumberFormat="1" applyFont="1" applyBorder="1" applyAlignment="1">
      <alignment vertical="center"/>
    </xf>
    <xf numFmtId="10" fontId="0" fillId="0" borderId="9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3" fontId="0" fillId="0" borderId="2" xfId="0" applyNumberFormat="1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E324-4368-784E-9590-6929F1C3FD36}">
  <sheetPr>
    <pageSetUpPr fitToPage="1"/>
  </sheetPr>
  <dimension ref="A1:X24"/>
  <sheetViews>
    <sheetView tabSelected="1" zoomScale="110" zoomScaleNormal="110" workbookViewId="0">
      <selection activeCell="F24" sqref="F24"/>
    </sheetView>
  </sheetViews>
  <sheetFormatPr baseColWidth="10" defaultRowHeight="16" x14ac:dyDescent="0.2"/>
  <cols>
    <col min="1" max="1" width="25" style="20" customWidth="1"/>
    <col min="2" max="2" width="12.1640625" style="20" customWidth="1"/>
    <col min="3" max="3" width="8.33203125" style="20" customWidth="1"/>
    <col min="4" max="4" width="8.6640625" style="20" customWidth="1"/>
    <col min="5" max="5" width="8" style="20" customWidth="1"/>
    <col min="6" max="6" width="9.1640625" style="20" customWidth="1"/>
    <col min="7" max="7" width="11.33203125" style="20" customWidth="1"/>
    <col min="8" max="8" width="13.1640625" style="20" customWidth="1"/>
    <col min="9" max="9" width="7.33203125" style="20" customWidth="1"/>
    <col min="10" max="10" width="9.83203125" style="20" customWidth="1"/>
    <col min="11" max="11" width="8" style="20" customWidth="1"/>
    <col min="12" max="12" width="9.83203125" style="20" customWidth="1"/>
    <col min="13" max="14" width="10.83203125" style="20"/>
    <col min="15" max="15" width="11.83203125" style="20" customWidth="1"/>
    <col min="16" max="16384" width="10.83203125" style="20"/>
  </cols>
  <sheetData>
    <row r="1" spans="1:24" ht="18" thickTop="1" thickBot="1" x14ac:dyDescent="0.25">
      <c r="A1" s="78"/>
      <c r="B1" s="79"/>
      <c r="C1" s="95" t="s">
        <v>38</v>
      </c>
      <c r="D1" s="96"/>
      <c r="E1" s="96"/>
      <c r="F1" s="97"/>
      <c r="G1" s="95" t="s">
        <v>37</v>
      </c>
      <c r="H1" s="96"/>
      <c r="I1" s="96"/>
      <c r="J1" s="96"/>
      <c r="K1" s="96"/>
      <c r="L1" s="96"/>
      <c r="M1" s="96"/>
      <c r="N1" s="97"/>
      <c r="O1" s="95" t="s">
        <v>39</v>
      </c>
      <c r="P1" s="96"/>
      <c r="Q1" s="96"/>
      <c r="R1" s="97"/>
      <c r="S1" s="95" t="s">
        <v>40</v>
      </c>
      <c r="T1" s="96"/>
      <c r="U1" s="97"/>
      <c r="V1" s="95" t="s">
        <v>31</v>
      </c>
      <c r="W1" s="96"/>
      <c r="X1" s="97"/>
    </row>
    <row r="2" spans="1:24" ht="17" thickTop="1" x14ac:dyDescent="0.2">
      <c r="A2" s="21" t="s">
        <v>30</v>
      </c>
      <c r="B2" s="22" t="s">
        <v>0</v>
      </c>
      <c r="C2" s="23" t="s">
        <v>12</v>
      </c>
      <c r="D2" s="24" t="s">
        <v>13</v>
      </c>
      <c r="E2" s="24" t="b">
        <v>1</v>
      </c>
      <c r="F2" s="21" t="s">
        <v>33</v>
      </c>
      <c r="G2" s="23" t="s">
        <v>27</v>
      </c>
      <c r="H2" s="24" t="s">
        <v>24</v>
      </c>
      <c r="I2" s="24" t="s">
        <v>34</v>
      </c>
      <c r="J2" s="24" t="s">
        <v>25</v>
      </c>
      <c r="K2" s="24" t="s">
        <v>26</v>
      </c>
      <c r="L2" s="23" t="s">
        <v>13</v>
      </c>
      <c r="M2" s="24" t="s">
        <v>26</v>
      </c>
      <c r="N2" s="21" t="s">
        <v>29</v>
      </c>
      <c r="O2" s="25" t="s">
        <v>41</v>
      </c>
      <c r="P2" s="24" t="s">
        <v>13</v>
      </c>
      <c r="Q2" s="26" t="s">
        <v>26</v>
      </c>
      <c r="R2" s="21" t="s">
        <v>36</v>
      </c>
      <c r="S2" s="27" t="s">
        <v>41</v>
      </c>
      <c r="T2" s="28" t="s">
        <v>13</v>
      </c>
      <c r="U2" s="29" t="s">
        <v>26</v>
      </c>
      <c r="V2" s="27" t="s">
        <v>41</v>
      </c>
      <c r="W2" s="30" t="s">
        <v>13</v>
      </c>
      <c r="X2" s="31" t="s">
        <v>26</v>
      </c>
    </row>
    <row r="3" spans="1:24" x14ac:dyDescent="0.2">
      <c r="A3" s="32" t="s">
        <v>14</v>
      </c>
      <c r="B3" s="119" t="s">
        <v>1</v>
      </c>
      <c r="C3" s="33">
        <v>7</v>
      </c>
      <c r="D3" s="34">
        <f t="shared" ref="D3:D12" si="0">C3^2</f>
        <v>49</v>
      </c>
      <c r="E3" s="34">
        <v>8</v>
      </c>
      <c r="F3" s="14">
        <f t="shared" ref="F3:F12" si="1">E3/D3</f>
        <v>0.16326530612244897</v>
      </c>
      <c r="G3" s="35">
        <v>1</v>
      </c>
      <c r="H3" s="124">
        <v>5</v>
      </c>
      <c r="I3" s="123" t="s">
        <v>28</v>
      </c>
      <c r="J3" s="124">
        <v>500</v>
      </c>
      <c r="K3" s="99">
        <f>H3*J3</f>
        <v>2500</v>
      </c>
      <c r="L3" s="16">
        <f t="shared" ref="L3:L8" si="2">D3*G3*K$3</f>
        <v>122500</v>
      </c>
      <c r="M3" s="98">
        <f>SUM(L3:L8)</f>
        <v>2247500</v>
      </c>
      <c r="N3" s="116">
        <f>M3/(M$3+M$9+M$13)</f>
        <v>0.33544781126086737</v>
      </c>
      <c r="O3" s="117" t="s">
        <v>42</v>
      </c>
      <c r="P3" s="15">
        <f>D3*G3*3*J$3</f>
        <v>73500</v>
      </c>
      <c r="Q3" s="98">
        <f>SUM(P3:P8)</f>
        <v>1348500</v>
      </c>
      <c r="R3" s="102">
        <f>Q3/(Q$3+Q$9+Q$13)</f>
        <v>0.33527345235934553</v>
      </c>
      <c r="S3" s="106" t="s">
        <v>43</v>
      </c>
      <c r="T3" s="15">
        <f>D3*G3*1*J$3</f>
        <v>24500</v>
      </c>
      <c r="U3" s="109">
        <f>SUM(T3:T8)</f>
        <v>449500</v>
      </c>
      <c r="V3" s="106" t="s">
        <v>44</v>
      </c>
      <c r="W3" s="15">
        <f>D3*G3*1*J$3</f>
        <v>24500</v>
      </c>
      <c r="X3" s="109">
        <f>SUM(W3:W8)</f>
        <v>449500</v>
      </c>
    </row>
    <row r="4" spans="1:24" x14ac:dyDescent="0.2">
      <c r="A4" s="3" t="s">
        <v>15</v>
      </c>
      <c r="B4" s="120"/>
      <c r="C4" s="36">
        <v>18</v>
      </c>
      <c r="D4" s="37">
        <f t="shared" si="0"/>
        <v>324</v>
      </c>
      <c r="E4" s="37">
        <v>19</v>
      </c>
      <c r="F4" s="9">
        <f t="shared" si="1"/>
        <v>5.8641975308641972E-2</v>
      </c>
      <c r="G4" s="38">
        <v>1</v>
      </c>
      <c r="H4" s="81"/>
      <c r="I4" s="93"/>
      <c r="J4" s="81"/>
      <c r="K4" s="100"/>
      <c r="L4" s="17">
        <f t="shared" si="2"/>
        <v>810000</v>
      </c>
      <c r="M4" s="87"/>
      <c r="N4" s="104"/>
      <c r="O4" s="90"/>
      <c r="P4" s="12">
        <f t="shared" ref="P4:P8" si="3">D4*G4*3*J$3</f>
        <v>486000</v>
      </c>
      <c r="Q4" s="81"/>
      <c r="R4" s="84"/>
      <c r="S4" s="107"/>
      <c r="T4" s="12">
        <f t="shared" ref="T4:T8" si="4">D4*G4*1*J$3</f>
        <v>162000</v>
      </c>
      <c r="U4" s="110"/>
      <c r="V4" s="107"/>
      <c r="W4" s="12">
        <f t="shared" ref="W4:W8" si="5">D4*G4*1*J$3</f>
        <v>162000</v>
      </c>
      <c r="X4" s="110"/>
    </row>
    <row r="5" spans="1:24" x14ac:dyDescent="0.2">
      <c r="A5" s="3" t="s">
        <v>16</v>
      </c>
      <c r="B5" s="120"/>
      <c r="C5" s="36">
        <v>6</v>
      </c>
      <c r="D5" s="37">
        <f t="shared" si="0"/>
        <v>36</v>
      </c>
      <c r="E5" s="37">
        <v>6</v>
      </c>
      <c r="F5" s="9">
        <f t="shared" si="1"/>
        <v>0.16666666666666666</v>
      </c>
      <c r="G5" s="38">
        <v>1</v>
      </c>
      <c r="H5" s="81"/>
      <c r="I5" s="93"/>
      <c r="J5" s="81"/>
      <c r="K5" s="100"/>
      <c r="L5" s="17">
        <f t="shared" si="2"/>
        <v>90000</v>
      </c>
      <c r="M5" s="87"/>
      <c r="N5" s="104"/>
      <c r="O5" s="90"/>
      <c r="P5" s="12">
        <f t="shared" si="3"/>
        <v>54000</v>
      </c>
      <c r="Q5" s="81"/>
      <c r="R5" s="84"/>
      <c r="S5" s="107"/>
      <c r="T5" s="12">
        <f t="shared" si="4"/>
        <v>18000</v>
      </c>
      <c r="U5" s="110"/>
      <c r="V5" s="107"/>
      <c r="W5" s="12">
        <f t="shared" si="5"/>
        <v>18000</v>
      </c>
      <c r="X5" s="110"/>
    </row>
    <row r="6" spans="1:24" x14ac:dyDescent="0.2">
      <c r="A6" s="3" t="s">
        <v>17</v>
      </c>
      <c r="B6" s="120"/>
      <c r="C6" s="36">
        <v>7</v>
      </c>
      <c r="D6" s="37">
        <f t="shared" si="0"/>
        <v>49</v>
      </c>
      <c r="E6" s="37">
        <v>12</v>
      </c>
      <c r="F6" s="9">
        <f t="shared" si="1"/>
        <v>0.24489795918367346</v>
      </c>
      <c r="G6" s="38">
        <v>2</v>
      </c>
      <c r="H6" s="81"/>
      <c r="I6" s="93"/>
      <c r="J6" s="81"/>
      <c r="K6" s="100"/>
      <c r="L6" s="17">
        <f t="shared" si="2"/>
        <v>245000</v>
      </c>
      <c r="M6" s="87"/>
      <c r="N6" s="104"/>
      <c r="O6" s="90"/>
      <c r="P6" s="12">
        <f t="shared" si="3"/>
        <v>147000</v>
      </c>
      <c r="Q6" s="81"/>
      <c r="R6" s="84"/>
      <c r="S6" s="107"/>
      <c r="T6" s="12">
        <f t="shared" si="4"/>
        <v>49000</v>
      </c>
      <c r="U6" s="110"/>
      <c r="V6" s="107"/>
      <c r="W6" s="12">
        <f t="shared" si="5"/>
        <v>49000</v>
      </c>
      <c r="X6" s="110"/>
    </row>
    <row r="7" spans="1:24" x14ac:dyDescent="0.2">
      <c r="A7" s="3" t="s">
        <v>18</v>
      </c>
      <c r="B7" s="120"/>
      <c r="C7" s="36">
        <v>10</v>
      </c>
      <c r="D7" s="37">
        <f t="shared" si="0"/>
        <v>100</v>
      </c>
      <c r="E7" s="37">
        <v>18</v>
      </c>
      <c r="F7" s="9">
        <f t="shared" si="1"/>
        <v>0.18</v>
      </c>
      <c r="G7" s="38">
        <v>2</v>
      </c>
      <c r="H7" s="81"/>
      <c r="I7" s="93"/>
      <c r="J7" s="81"/>
      <c r="K7" s="100"/>
      <c r="L7" s="17">
        <f t="shared" si="2"/>
        <v>500000</v>
      </c>
      <c r="M7" s="87"/>
      <c r="N7" s="104"/>
      <c r="O7" s="90"/>
      <c r="P7" s="12">
        <f t="shared" si="3"/>
        <v>300000</v>
      </c>
      <c r="Q7" s="81"/>
      <c r="R7" s="84"/>
      <c r="S7" s="107"/>
      <c r="T7" s="12">
        <f t="shared" si="4"/>
        <v>100000</v>
      </c>
      <c r="U7" s="110"/>
      <c r="V7" s="107"/>
      <c r="W7" s="12">
        <f t="shared" si="5"/>
        <v>100000</v>
      </c>
      <c r="X7" s="110"/>
    </row>
    <row r="8" spans="1:24" ht="17" thickBot="1" x14ac:dyDescent="0.25">
      <c r="A8" s="4" t="s">
        <v>19</v>
      </c>
      <c r="B8" s="121"/>
      <c r="C8" s="39">
        <v>8</v>
      </c>
      <c r="D8" s="40">
        <f t="shared" si="0"/>
        <v>64</v>
      </c>
      <c r="E8" s="40">
        <v>20</v>
      </c>
      <c r="F8" s="10">
        <f t="shared" si="1"/>
        <v>0.3125</v>
      </c>
      <c r="G8" s="41">
        <v>3</v>
      </c>
      <c r="H8" s="82"/>
      <c r="I8" s="94"/>
      <c r="J8" s="82"/>
      <c r="K8" s="101"/>
      <c r="L8" s="18">
        <f t="shared" si="2"/>
        <v>480000</v>
      </c>
      <c r="M8" s="88"/>
      <c r="N8" s="105"/>
      <c r="O8" s="91"/>
      <c r="P8" s="13">
        <f t="shared" si="3"/>
        <v>288000</v>
      </c>
      <c r="Q8" s="82"/>
      <c r="R8" s="85"/>
      <c r="S8" s="108"/>
      <c r="T8" s="13">
        <f t="shared" si="4"/>
        <v>96000</v>
      </c>
      <c r="U8" s="111"/>
      <c r="V8" s="108"/>
      <c r="W8" s="13">
        <f t="shared" si="5"/>
        <v>96000</v>
      </c>
      <c r="X8" s="111"/>
    </row>
    <row r="9" spans="1:24" ht="17" thickTop="1" x14ac:dyDescent="0.2">
      <c r="A9" s="42" t="s">
        <v>20</v>
      </c>
      <c r="B9" s="122" t="s">
        <v>2</v>
      </c>
      <c r="C9" s="43">
        <v>5</v>
      </c>
      <c r="D9" s="44">
        <f t="shared" si="0"/>
        <v>25</v>
      </c>
      <c r="E9" s="45">
        <v>14</v>
      </c>
      <c r="F9" s="46">
        <f t="shared" si="1"/>
        <v>0.56000000000000005</v>
      </c>
      <c r="G9" s="47">
        <v>2</v>
      </c>
      <c r="H9" s="86">
        <v>5</v>
      </c>
      <c r="I9" s="92" t="s">
        <v>45</v>
      </c>
      <c r="J9" s="86">
        <v>300</v>
      </c>
      <c r="K9" s="80">
        <f>H9*J9</f>
        <v>1500</v>
      </c>
      <c r="L9" s="5">
        <f>D9*G9*K$9</f>
        <v>75000</v>
      </c>
      <c r="M9" s="80">
        <f>SUM(L9:L12)</f>
        <v>2364000</v>
      </c>
      <c r="N9" s="83">
        <f>M9/(M3+M9+M13)</f>
        <v>0.35283587355759305</v>
      </c>
      <c r="O9" s="89" t="s">
        <v>46</v>
      </c>
      <c r="P9" s="5">
        <f>D9*G9*3*J$9</f>
        <v>45000</v>
      </c>
      <c r="Q9" s="80">
        <f>SUM(P9:P12)</f>
        <v>1418400</v>
      </c>
      <c r="R9" s="83">
        <f>Q9/(Q3+Q9+Q13)</f>
        <v>0.35265247669743838</v>
      </c>
      <c r="S9" s="113" t="s">
        <v>47</v>
      </c>
      <c r="T9" s="5">
        <f>D9*G9*1*J$9</f>
        <v>15000</v>
      </c>
      <c r="U9" s="112">
        <f>SUM(T9:T12)</f>
        <v>472800</v>
      </c>
      <c r="V9" s="113" t="s">
        <v>48</v>
      </c>
      <c r="W9" s="5">
        <f>D9*G9*1*J$9</f>
        <v>15000</v>
      </c>
      <c r="X9" s="112">
        <f>SUM(W9:W12)</f>
        <v>472800</v>
      </c>
    </row>
    <row r="10" spans="1:24" x14ac:dyDescent="0.2">
      <c r="A10" s="3" t="s">
        <v>21</v>
      </c>
      <c r="B10" s="120"/>
      <c r="C10" s="48">
        <v>8</v>
      </c>
      <c r="D10" s="37">
        <f t="shared" si="0"/>
        <v>64</v>
      </c>
      <c r="E10" s="49">
        <v>15</v>
      </c>
      <c r="F10" s="50">
        <f t="shared" si="1"/>
        <v>0.234375</v>
      </c>
      <c r="G10" s="51">
        <v>5</v>
      </c>
      <c r="H10" s="81"/>
      <c r="I10" s="93"/>
      <c r="J10" s="81"/>
      <c r="K10" s="87"/>
      <c r="L10" s="12">
        <f>D10*G10*K$9</f>
        <v>480000</v>
      </c>
      <c r="M10" s="87"/>
      <c r="N10" s="84"/>
      <c r="O10" s="90"/>
      <c r="P10" s="12">
        <f>D10*G10*3*J$9</f>
        <v>288000</v>
      </c>
      <c r="Q10" s="81"/>
      <c r="R10" s="84"/>
      <c r="S10" s="114"/>
      <c r="T10" s="12">
        <f>D10*G10*1*J$9</f>
        <v>96000</v>
      </c>
      <c r="U10" s="110"/>
      <c r="V10" s="114"/>
      <c r="W10" s="12">
        <f>D10*G10*1*J$9</f>
        <v>96000</v>
      </c>
      <c r="X10" s="110"/>
    </row>
    <row r="11" spans="1:24" x14ac:dyDescent="0.2">
      <c r="A11" s="3" t="s">
        <v>22</v>
      </c>
      <c r="B11" s="120"/>
      <c r="C11" s="48">
        <v>11</v>
      </c>
      <c r="D11" s="37">
        <f t="shared" si="0"/>
        <v>121</v>
      </c>
      <c r="E11" s="49">
        <v>30</v>
      </c>
      <c r="F11" s="50">
        <f t="shared" si="1"/>
        <v>0.24793388429752067</v>
      </c>
      <c r="G11" s="51">
        <v>4</v>
      </c>
      <c r="H11" s="81"/>
      <c r="I11" s="93"/>
      <c r="J11" s="81"/>
      <c r="K11" s="87"/>
      <c r="L11" s="12">
        <f>D11*G11*K$9</f>
        <v>726000</v>
      </c>
      <c r="M11" s="87"/>
      <c r="N11" s="84"/>
      <c r="O11" s="90"/>
      <c r="P11" s="12">
        <f>D11*G11*3*J$9</f>
        <v>435600</v>
      </c>
      <c r="Q11" s="81"/>
      <c r="R11" s="84"/>
      <c r="S11" s="114"/>
      <c r="T11" s="12">
        <f>D11*G11*1*J$9</f>
        <v>145200</v>
      </c>
      <c r="U11" s="110"/>
      <c r="V11" s="114"/>
      <c r="W11" s="12">
        <f>D11*G11*1*J$9</f>
        <v>145200</v>
      </c>
      <c r="X11" s="110"/>
    </row>
    <row r="12" spans="1:24" ht="17" thickBot="1" x14ac:dyDescent="0.25">
      <c r="A12" s="4" t="s">
        <v>23</v>
      </c>
      <c r="B12" s="121"/>
      <c r="C12" s="52">
        <v>19</v>
      </c>
      <c r="D12" s="40">
        <f t="shared" si="0"/>
        <v>361</v>
      </c>
      <c r="E12" s="53">
        <v>79</v>
      </c>
      <c r="F12" s="54">
        <f t="shared" si="1"/>
        <v>0.2188365650969529</v>
      </c>
      <c r="G12" s="55">
        <v>2</v>
      </c>
      <c r="H12" s="82"/>
      <c r="I12" s="94"/>
      <c r="J12" s="82"/>
      <c r="K12" s="88"/>
      <c r="L12" s="12">
        <f>D12*G12*K$9</f>
        <v>1083000</v>
      </c>
      <c r="M12" s="88"/>
      <c r="N12" s="85"/>
      <c r="O12" s="91"/>
      <c r="P12" s="13">
        <f>D12*G12*3*J$9</f>
        <v>649800</v>
      </c>
      <c r="Q12" s="82"/>
      <c r="R12" s="85"/>
      <c r="S12" s="115"/>
      <c r="T12" s="13">
        <f>D12*G12*1*J$9</f>
        <v>216600</v>
      </c>
      <c r="U12" s="111"/>
      <c r="V12" s="115"/>
      <c r="W12" s="13">
        <f>D12*G12*1*J$9</f>
        <v>216600</v>
      </c>
      <c r="X12" s="111"/>
    </row>
    <row r="13" spans="1:24" ht="17" thickTop="1" x14ac:dyDescent="0.2">
      <c r="A13" s="42" t="s">
        <v>5</v>
      </c>
      <c r="B13" s="122" t="s">
        <v>3</v>
      </c>
      <c r="C13" s="56">
        <v>533</v>
      </c>
      <c r="D13" s="44">
        <f t="shared" ref="D13:D19" si="6">C13^2</f>
        <v>284089</v>
      </c>
      <c r="E13" s="44">
        <v>9592</v>
      </c>
      <c r="F13" s="8">
        <f t="shared" ref="F13:F19" si="7">E13/D13</f>
        <v>3.3764066894529529E-2</v>
      </c>
      <c r="G13" s="57">
        <v>1</v>
      </c>
      <c r="H13" s="86" t="s">
        <v>4</v>
      </c>
      <c r="I13" s="58">
        <v>1071</v>
      </c>
      <c r="J13" s="86" t="s">
        <v>4</v>
      </c>
      <c r="K13" s="118" t="s">
        <v>4</v>
      </c>
      <c r="L13" s="19">
        <f t="shared" ref="L13:L19" si="8">D13*G13</f>
        <v>284089</v>
      </c>
      <c r="M13" s="80">
        <f>SUM(L13:L19)</f>
        <v>2088499</v>
      </c>
      <c r="N13" s="103">
        <f>M13/(M3+M9+M13)</f>
        <v>0.31171631518153958</v>
      </c>
      <c r="O13" s="59" t="s">
        <v>32</v>
      </c>
      <c r="P13" s="5">
        <f>D13</f>
        <v>284089</v>
      </c>
      <c r="Q13" s="80">
        <f>SUM(P13,P14,P16,P18)</f>
        <v>1255190</v>
      </c>
      <c r="R13" s="103">
        <f>Q13/(Q3+Q9+Q13)</f>
        <v>0.3120740709432161</v>
      </c>
      <c r="S13" s="60" t="s">
        <v>35</v>
      </c>
      <c r="T13" s="11" t="s">
        <v>35</v>
      </c>
      <c r="U13" s="112">
        <f>SUM(T15)</f>
        <v>273529</v>
      </c>
      <c r="V13" s="59" t="s">
        <v>35</v>
      </c>
      <c r="W13" s="11" t="s">
        <v>35</v>
      </c>
      <c r="X13" s="112">
        <f>SUM(W17,W19)</f>
        <v>559780</v>
      </c>
    </row>
    <row r="14" spans="1:24" x14ac:dyDescent="0.2">
      <c r="A14" s="3" t="s">
        <v>6</v>
      </c>
      <c r="B14" s="120"/>
      <c r="C14" s="36">
        <v>516</v>
      </c>
      <c r="D14" s="37">
        <f t="shared" si="6"/>
        <v>266256</v>
      </c>
      <c r="E14" s="37">
        <v>4026</v>
      </c>
      <c r="F14" s="9">
        <f t="shared" si="7"/>
        <v>1.5120786010456102E-2</v>
      </c>
      <c r="G14" s="38">
        <v>1</v>
      </c>
      <c r="H14" s="81"/>
      <c r="I14" s="61">
        <v>847</v>
      </c>
      <c r="J14" s="81"/>
      <c r="K14" s="100"/>
      <c r="L14" s="17">
        <f t="shared" si="8"/>
        <v>266256</v>
      </c>
      <c r="M14" s="87"/>
      <c r="N14" s="104"/>
      <c r="O14" s="62" t="s">
        <v>32</v>
      </c>
      <c r="P14" s="12">
        <f>D14</f>
        <v>266256</v>
      </c>
      <c r="Q14" s="87"/>
      <c r="R14" s="104"/>
      <c r="S14" s="63" t="s">
        <v>35</v>
      </c>
      <c r="T14" s="6" t="s">
        <v>35</v>
      </c>
      <c r="U14" s="110"/>
      <c r="V14" s="62" t="s">
        <v>35</v>
      </c>
      <c r="W14" s="6" t="s">
        <v>35</v>
      </c>
      <c r="X14" s="110"/>
    </row>
    <row r="15" spans="1:24" x14ac:dyDescent="0.2">
      <c r="A15" s="3" t="s">
        <v>7</v>
      </c>
      <c r="B15" s="120"/>
      <c r="C15" s="36">
        <v>523</v>
      </c>
      <c r="D15" s="37">
        <f t="shared" si="6"/>
        <v>273529</v>
      </c>
      <c r="E15" s="37">
        <v>6587</v>
      </c>
      <c r="F15" s="9">
        <f t="shared" si="7"/>
        <v>2.4081541628127184E-2</v>
      </c>
      <c r="G15" s="38">
        <v>1</v>
      </c>
      <c r="H15" s="81"/>
      <c r="I15" s="61">
        <v>889</v>
      </c>
      <c r="J15" s="81"/>
      <c r="K15" s="100"/>
      <c r="L15" s="17">
        <f t="shared" si="8"/>
        <v>273529</v>
      </c>
      <c r="M15" s="87"/>
      <c r="N15" s="104"/>
      <c r="O15" s="62" t="s">
        <v>35</v>
      </c>
      <c r="P15" s="6" t="s">
        <v>35</v>
      </c>
      <c r="Q15" s="87"/>
      <c r="R15" s="104"/>
      <c r="S15" s="63" t="s">
        <v>32</v>
      </c>
      <c r="T15" s="12">
        <f>D15</f>
        <v>273529</v>
      </c>
      <c r="U15" s="110"/>
      <c r="V15" s="62" t="s">
        <v>35</v>
      </c>
      <c r="W15" s="6" t="s">
        <v>35</v>
      </c>
      <c r="X15" s="110"/>
    </row>
    <row r="16" spans="1:24" x14ac:dyDescent="0.2">
      <c r="A16" s="3" t="s">
        <v>8</v>
      </c>
      <c r="B16" s="120"/>
      <c r="C16" s="36">
        <v>642</v>
      </c>
      <c r="D16" s="37">
        <f t="shared" si="6"/>
        <v>412164</v>
      </c>
      <c r="E16" s="37">
        <v>20580</v>
      </c>
      <c r="F16" s="9">
        <f t="shared" si="7"/>
        <v>4.993158063295193E-2</v>
      </c>
      <c r="G16" s="38">
        <v>1</v>
      </c>
      <c r="H16" s="81"/>
      <c r="I16" s="61">
        <v>421</v>
      </c>
      <c r="J16" s="81"/>
      <c r="K16" s="100"/>
      <c r="L16" s="17">
        <f t="shared" si="8"/>
        <v>412164</v>
      </c>
      <c r="M16" s="87"/>
      <c r="N16" s="104"/>
      <c r="O16" s="62" t="s">
        <v>32</v>
      </c>
      <c r="P16" s="12">
        <f>D16</f>
        <v>412164</v>
      </c>
      <c r="Q16" s="87"/>
      <c r="R16" s="104"/>
      <c r="S16" s="63" t="s">
        <v>35</v>
      </c>
      <c r="T16" s="6" t="s">
        <v>35</v>
      </c>
      <c r="U16" s="110"/>
      <c r="V16" s="62" t="s">
        <v>35</v>
      </c>
      <c r="W16" s="6" t="s">
        <v>35</v>
      </c>
      <c r="X16" s="110"/>
    </row>
    <row r="17" spans="1:24" x14ac:dyDescent="0.2">
      <c r="A17" s="64" t="s">
        <v>9</v>
      </c>
      <c r="B17" s="120"/>
      <c r="C17" s="65">
        <v>522</v>
      </c>
      <c r="D17" s="66">
        <f t="shared" si="6"/>
        <v>272484</v>
      </c>
      <c r="E17" s="66">
        <v>494</v>
      </c>
      <c r="F17" s="67">
        <f t="shared" si="7"/>
        <v>1.8129504851661015E-3</v>
      </c>
      <c r="G17" s="68">
        <v>1</v>
      </c>
      <c r="H17" s="81"/>
      <c r="I17" s="69">
        <v>383</v>
      </c>
      <c r="J17" s="81"/>
      <c r="K17" s="100"/>
      <c r="L17" s="70">
        <f t="shared" si="8"/>
        <v>272484</v>
      </c>
      <c r="M17" s="87"/>
      <c r="N17" s="104"/>
      <c r="O17" s="62" t="s">
        <v>35</v>
      </c>
      <c r="P17" s="6" t="s">
        <v>35</v>
      </c>
      <c r="Q17" s="87"/>
      <c r="R17" s="104"/>
      <c r="S17" s="63" t="s">
        <v>35</v>
      </c>
      <c r="T17" s="6" t="s">
        <v>35</v>
      </c>
      <c r="U17" s="110"/>
      <c r="V17" s="62" t="s">
        <v>32</v>
      </c>
      <c r="W17" s="12">
        <f>D17</f>
        <v>272484</v>
      </c>
      <c r="X17" s="110"/>
    </row>
    <row r="18" spans="1:24" x14ac:dyDescent="0.2">
      <c r="A18" s="3" t="s">
        <v>10</v>
      </c>
      <c r="B18" s="120"/>
      <c r="C18" s="36">
        <v>541</v>
      </c>
      <c r="D18" s="37">
        <f t="shared" si="6"/>
        <v>292681</v>
      </c>
      <c r="E18" s="37">
        <v>3166</v>
      </c>
      <c r="F18" s="9">
        <f t="shared" si="7"/>
        <v>1.0817237880149377E-2</v>
      </c>
      <c r="G18" s="38">
        <v>1</v>
      </c>
      <c r="H18" s="81"/>
      <c r="I18" s="61">
        <v>758</v>
      </c>
      <c r="J18" s="81"/>
      <c r="K18" s="100"/>
      <c r="L18" s="17">
        <f t="shared" si="8"/>
        <v>292681</v>
      </c>
      <c r="M18" s="87"/>
      <c r="N18" s="104"/>
      <c r="O18" s="62" t="s">
        <v>32</v>
      </c>
      <c r="P18" s="12">
        <f>D18</f>
        <v>292681</v>
      </c>
      <c r="Q18" s="87"/>
      <c r="R18" s="104"/>
      <c r="S18" s="63" t="s">
        <v>35</v>
      </c>
      <c r="T18" s="6" t="s">
        <v>35</v>
      </c>
      <c r="U18" s="110"/>
      <c r="V18" s="62" t="s">
        <v>35</v>
      </c>
      <c r="W18" s="6" t="s">
        <v>35</v>
      </c>
      <c r="X18" s="110"/>
    </row>
    <row r="19" spans="1:24" ht="17" thickBot="1" x14ac:dyDescent="0.25">
      <c r="A19" s="4" t="s">
        <v>11</v>
      </c>
      <c r="B19" s="121"/>
      <c r="C19" s="39">
        <v>536</v>
      </c>
      <c r="D19" s="40">
        <f t="shared" si="6"/>
        <v>287296</v>
      </c>
      <c r="E19" s="40">
        <v>6171</v>
      </c>
      <c r="F19" s="10">
        <f t="shared" si="7"/>
        <v>2.1479588995321899E-2</v>
      </c>
      <c r="G19" s="41">
        <v>1</v>
      </c>
      <c r="H19" s="82"/>
      <c r="I19" s="71">
        <v>425</v>
      </c>
      <c r="J19" s="82"/>
      <c r="K19" s="101"/>
      <c r="L19" s="18">
        <f t="shared" si="8"/>
        <v>287296</v>
      </c>
      <c r="M19" s="88"/>
      <c r="N19" s="105"/>
      <c r="O19" s="72" t="s">
        <v>35</v>
      </c>
      <c r="P19" s="7" t="s">
        <v>35</v>
      </c>
      <c r="Q19" s="88"/>
      <c r="R19" s="105"/>
      <c r="S19" s="73" t="s">
        <v>35</v>
      </c>
      <c r="T19" s="7" t="s">
        <v>35</v>
      </c>
      <c r="U19" s="111"/>
      <c r="V19" s="72" t="s">
        <v>32</v>
      </c>
      <c r="W19" s="13">
        <f>D19</f>
        <v>287296</v>
      </c>
      <c r="X19" s="111"/>
    </row>
    <row r="20" spans="1:24" ht="18" thickTop="1" thickBot="1" x14ac:dyDescent="0.25"/>
    <row r="21" spans="1:24" ht="18" thickTop="1" x14ac:dyDescent="0.2">
      <c r="Q21" s="2" t="s">
        <v>26</v>
      </c>
      <c r="R21" s="1"/>
      <c r="U21" s="74" t="s">
        <v>26</v>
      </c>
      <c r="X21" s="74" t="s">
        <v>26</v>
      </c>
    </row>
    <row r="22" spans="1:24" x14ac:dyDescent="0.2">
      <c r="Q22" s="75">
        <f>SUM(Q3,Q9,Q13)</f>
        <v>4022090</v>
      </c>
      <c r="R22" s="76"/>
      <c r="U22" s="75">
        <f>SUM(U3,U9,U13)</f>
        <v>1195829</v>
      </c>
      <c r="X22" s="75">
        <f>SUM(X3,X9,X13)</f>
        <v>1482080</v>
      </c>
    </row>
    <row r="23" spans="1:24" ht="17" thickBot="1" x14ac:dyDescent="0.25">
      <c r="Q23" s="77">
        <f>Q22/SUM(M3,M9,M13)</f>
        <v>0.60031202989731791</v>
      </c>
      <c r="U23" s="77">
        <f>U22/SUM(M3,M9,M13)</f>
        <v>0.17848196693760701</v>
      </c>
      <c r="X23" s="77">
        <f>X22/(SUM(M3,M9,M13))</f>
        <v>0.2212060031650751</v>
      </c>
    </row>
    <row r="24" spans="1:24" ht="17" thickTop="1" x14ac:dyDescent="0.2"/>
  </sheetData>
  <mergeCells count="44">
    <mergeCell ref="H13:H19"/>
    <mergeCell ref="J13:J19"/>
    <mergeCell ref="K13:K19"/>
    <mergeCell ref="M13:M19"/>
    <mergeCell ref="B3:B8"/>
    <mergeCell ref="B9:B12"/>
    <mergeCell ref="B13:B19"/>
    <mergeCell ref="I3:I8"/>
    <mergeCell ref="J3:J8"/>
    <mergeCell ref="H3:H8"/>
    <mergeCell ref="Q13:Q19"/>
    <mergeCell ref="U3:U8"/>
    <mergeCell ref="U13:U19"/>
    <mergeCell ref="N3:N8"/>
    <mergeCell ref="M9:M12"/>
    <mergeCell ref="N9:N12"/>
    <mergeCell ref="N13:N19"/>
    <mergeCell ref="O3:O8"/>
    <mergeCell ref="M3:M8"/>
    <mergeCell ref="S1:U1"/>
    <mergeCell ref="V1:X1"/>
    <mergeCell ref="R3:R8"/>
    <mergeCell ref="R13:R19"/>
    <mergeCell ref="S3:S8"/>
    <mergeCell ref="V3:V8"/>
    <mergeCell ref="X3:X8"/>
    <mergeCell ref="X13:X19"/>
    <mergeCell ref="S9:S12"/>
    <mergeCell ref="U9:U12"/>
    <mergeCell ref="V9:V12"/>
    <mergeCell ref="X9:X12"/>
    <mergeCell ref="A1:B1"/>
    <mergeCell ref="Q9:Q12"/>
    <mergeCell ref="R9:R12"/>
    <mergeCell ref="H9:H12"/>
    <mergeCell ref="J9:J12"/>
    <mergeCell ref="K9:K12"/>
    <mergeCell ref="O9:O12"/>
    <mergeCell ref="I9:I12"/>
    <mergeCell ref="C1:F1"/>
    <mergeCell ref="G1:N1"/>
    <mergeCell ref="O1:R1"/>
    <mergeCell ref="Q3:Q8"/>
    <mergeCell ref="K3:K8"/>
  </mergeCells>
  <pageMargins left="0.7" right="0.7" top="0.75" bottom="0.75" header="0.3" footer="0.3"/>
  <pageSetup scale="86" fitToWidth="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Reagor</dc:creator>
  <cp:lastModifiedBy>Caleb Reagor</cp:lastModifiedBy>
  <cp:lastPrinted>2021-03-18T19:18:12Z</cp:lastPrinted>
  <dcterms:created xsi:type="dcterms:W3CDTF">2021-02-17T23:51:23Z</dcterms:created>
  <dcterms:modified xsi:type="dcterms:W3CDTF">2021-03-18T19:18:29Z</dcterms:modified>
</cp:coreProperties>
</file>