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ebreagor/Documents/hudspeth-lab/grn-cnn/"/>
    </mc:Choice>
  </mc:AlternateContent>
  <xr:revisionPtr revIDLastSave="0" documentId="13_ncr:1_{BD671617-FF6F-4E41-9BA7-55C97209A665}" xr6:coauthVersionLast="47" xr6:coauthVersionMax="47" xr10:uidLastSave="{00000000-0000-0000-0000-000000000000}"/>
  <bookViews>
    <workbookView xWindow="0" yWindow="460" windowWidth="28800" windowHeight="16320" xr2:uid="{E26B95C3-31AB-AB48-8817-B97A12D71819}"/>
  </bookViews>
  <sheets>
    <sheet name="summar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2" l="1"/>
  <c r="L9" i="2" s="1"/>
  <c r="N19" i="2"/>
  <c r="N18" i="2"/>
  <c r="N17" i="2"/>
  <c r="N16" i="2"/>
  <c r="N15" i="2"/>
  <c r="N14" i="2"/>
  <c r="N13" i="2"/>
  <c r="E19" i="2"/>
  <c r="G19" i="2" s="1"/>
  <c r="E18" i="2"/>
  <c r="G18" i="2" s="1"/>
  <c r="E17" i="2"/>
  <c r="G17" i="2" s="1"/>
  <c r="E16" i="2"/>
  <c r="G16" i="2" s="1"/>
  <c r="E15" i="2"/>
  <c r="G15" i="2" s="1"/>
  <c r="E14" i="2"/>
  <c r="E13" i="2"/>
  <c r="M13" i="2" s="1"/>
  <c r="D12" i="2"/>
  <c r="E12" i="2" s="1"/>
  <c r="D11" i="2"/>
  <c r="E11" i="2" s="1"/>
  <c r="D10" i="2"/>
  <c r="E10" i="2" s="1"/>
  <c r="D9" i="2"/>
  <c r="E9" i="2" s="1"/>
  <c r="E7" i="2"/>
  <c r="G7" i="2" s="1"/>
  <c r="E6" i="2"/>
  <c r="G6" i="2" s="1"/>
  <c r="E3" i="2"/>
  <c r="G3" i="2" s="1"/>
  <c r="D8" i="2"/>
  <c r="E8" i="2" s="1"/>
  <c r="G8" i="2" s="1"/>
  <c r="D7" i="2"/>
  <c r="D6" i="2"/>
  <c r="D5" i="2"/>
  <c r="E5" i="2" s="1"/>
  <c r="G5" i="2" s="1"/>
  <c r="D4" i="2"/>
  <c r="E4" i="2" s="1"/>
  <c r="G4" i="2" s="1"/>
  <c r="D3" i="2"/>
  <c r="K3" i="2"/>
  <c r="M14" i="2"/>
  <c r="R11" i="2" l="1"/>
  <c r="R12" i="2"/>
  <c r="Y9" i="2"/>
  <c r="R10" i="2"/>
  <c r="V10" i="2"/>
  <c r="Y10" i="2"/>
  <c r="M12" i="2"/>
  <c r="V9" i="2"/>
  <c r="G12" i="2"/>
  <c r="Y12" i="2"/>
  <c r="G9" i="2"/>
  <c r="G10" i="2"/>
  <c r="Y6" i="2"/>
  <c r="G11" i="2"/>
  <c r="L3" i="2"/>
  <c r="M4" i="2" s="1"/>
  <c r="Y8" i="2"/>
  <c r="Y4" i="2"/>
  <c r="V7" i="2"/>
  <c r="Y17" i="2"/>
  <c r="M9" i="2"/>
  <c r="V11" i="2"/>
  <c r="V5" i="2"/>
  <c r="M11" i="2"/>
  <c r="V3" i="2"/>
  <c r="V4" i="2"/>
  <c r="V8" i="2"/>
  <c r="Y3" i="2"/>
  <c r="Y7" i="2"/>
  <c r="Y19" i="2"/>
  <c r="M10" i="2"/>
  <c r="R9" i="2"/>
  <c r="V12" i="2"/>
  <c r="Y11" i="2"/>
  <c r="V6" i="2"/>
  <c r="V15" i="2"/>
  <c r="W13" i="2" s="1"/>
  <c r="Y5" i="2"/>
  <c r="R6" i="2"/>
  <c r="R7" i="2"/>
  <c r="R13" i="2"/>
  <c r="R3" i="2"/>
  <c r="R14" i="2"/>
  <c r="R4" i="2"/>
  <c r="R8" i="2"/>
  <c r="R16" i="2"/>
  <c r="R5" i="2"/>
  <c r="R18" i="2"/>
  <c r="G14" i="2"/>
  <c r="M17" i="2"/>
  <c r="M18" i="2"/>
  <c r="M15" i="2"/>
  <c r="M19" i="2"/>
  <c r="G13" i="2"/>
  <c r="M16" i="2"/>
  <c r="M3" i="2" l="1"/>
  <c r="O3" i="2" s="1"/>
  <c r="M5" i="2"/>
  <c r="M7" i="2"/>
  <c r="M6" i="2"/>
  <c r="M8" i="2"/>
  <c r="Z9" i="2"/>
  <c r="S9" i="2"/>
  <c r="S13" i="2"/>
  <c r="W9" i="2"/>
  <c r="Z3" i="2"/>
  <c r="Z13" i="2"/>
  <c r="S3" i="2"/>
  <c r="W3" i="2"/>
  <c r="W22" i="2" s="1"/>
  <c r="O9" i="2"/>
  <c r="O13" i="2"/>
  <c r="S22" i="2" l="1"/>
  <c r="S23" i="2" s="1"/>
  <c r="Z22" i="2"/>
  <c r="Z23" i="2" s="1"/>
  <c r="T9" i="2"/>
  <c r="P9" i="2"/>
  <c r="W23" i="2"/>
  <c r="T3" i="2"/>
  <c r="T13" i="2"/>
  <c r="P13" i="2"/>
  <c r="P3" i="2"/>
</calcChain>
</file>

<file path=xl/sharedStrings.xml><?xml version="1.0" encoding="utf-8"?>
<sst xmlns="http://schemas.openxmlformats.org/spreadsheetml/2006/main" count="98" uniqueCount="50">
  <si>
    <t>Type</t>
  </si>
  <si>
    <t>Synthetic</t>
  </si>
  <si>
    <t>Curated</t>
  </si>
  <si>
    <t>Experimental</t>
  </si>
  <si>
    <t>NA</t>
  </si>
  <si>
    <t>mHSC-E</t>
  </si>
  <si>
    <t>mHSC-L</t>
  </si>
  <si>
    <t>mHSC-GM</t>
  </si>
  <si>
    <t>mESC</t>
  </si>
  <si>
    <t>mDC</t>
  </si>
  <si>
    <t>hESC</t>
  </si>
  <si>
    <t>hHep</t>
  </si>
  <si>
    <t>Examples</t>
  </si>
  <si>
    <t>dyn-linear</t>
  </si>
  <si>
    <t>dyn-linear-long</t>
  </si>
  <si>
    <t>dyn-cycle</t>
  </si>
  <si>
    <t>dyn-bifurcating</t>
  </si>
  <si>
    <t>dyn-bifurcating-converging</t>
  </si>
  <si>
    <t>dyn-trifurcating</t>
  </si>
  <si>
    <t>mCAD</t>
  </si>
  <si>
    <t>VSC</t>
  </si>
  <si>
    <t>HSC</t>
  </si>
  <si>
    <t>GSD</t>
  </si>
  <si>
    <t>Pipeline Evals</t>
  </si>
  <si>
    <t>Datasets</t>
  </si>
  <si>
    <t>Total</t>
  </si>
  <si>
    <t>Trajectories</t>
  </si>
  <si>
    <t>100, 200, 500, 2,000, 5,000</t>
  </si>
  <si>
    <t>% Total</t>
  </si>
  <si>
    <t>Model / Dataset</t>
  </si>
  <si>
    <t>TEST</t>
  </si>
  <si>
    <t>Y</t>
  </si>
  <si>
    <t>% TRUE</t>
  </si>
  <si>
    <t># Cells</t>
  </si>
  <si>
    <t>-</t>
  </si>
  <si>
    <t>% Training</t>
  </si>
  <si>
    <t>DATA SUMMARY</t>
  </si>
  <si>
    <t>NETWORK STATISTICS</t>
  </si>
  <si>
    <t>TRAINING</t>
  </si>
  <si>
    <t>VALIDATION</t>
  </si>
  <si>
    <t>Includes</t>
  </si>
  <si>
    <t>synthetic_1, synthetic_2, synthetic_3</t>
  </si>
  <si>
    <t>synthetic_4</t>
  </si>
  <si>
    <t>synthetic_5</t>
  </si>
  <si>
    <t>200, 500, 2,000</t>
  </si>
  <si>
    <t>curated_1, curated_2, curated_3</t>
  </si>
  <si>
    <t>curated_4</t>
  </si>
  <si>
    <t>curated_5</t>
  </si>
  <si>
    <t>TFs</t>
  </si>
  <si>
    <t>Targets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</si>
</sst>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0" fontId="0" fillId="0" borderId="23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3" fontId="0" fillId="0" borderId="1" xfId="0" applyNumberFormat="1" applyBorder="1" applyAlignment="1">
      <alignment vertical="center"/>
    </xf>
    <xf numFmtId="3" fontId="0" fillId="0" borderId="5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3" fontId="0" fillId="0" borderId="2" xfId="0" applyNumberFormat="1" applyBorder="1" applyAlignment="1">
      <alignment vertical="center"/>
    </xf>
    <xf numFmtId="3" fontId="0" fillId="0" borderId="6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3" fontId="0" fillId="0" borderId="19" xfId="0" applyNumberFormat="1" applyBorder="1" applyAlignment="1">
      <alignment vertical="center"/>
    </xf>
    <xf numFmtId="3" fontId="0" fillId="0" borderId="20" xfId="0" applyNumberForma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2" xfId="0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25" xfId="0" applyNumberFormat="1" applyFill="1" applyBorder="1" applyAlignment="1">
      <alignment vertical="center"/>
    </xf>
    <xf numFmtId="10" fontId="0" fillId="0" borderId="23" xfId="0" applyNumberForma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6" xfId="0" applyNumberFormat="1" applyFill="1" applyBorder="1" applyAlignment="1">
      <alignment vertical="center"/>
    </xf>
    <xf numFmtId="10" fontId="0" fillId="0" borderId="9" xfId="0" applyNumberFormat="1" applyFill="1" applyBorder="1" applyAlignment="1">
      <alignment horizontal="center" vertical="center"/>
    </xf>
    <xf numFmtId="0" fontId="0" fillId="0" borderId="15" xfId="0" applyBorder="1" applyAlignment="1">
      <alignment vertical="center"/>
    </xf>
    <xf numFmtId="3" fontId="0" fillId="0" borderId="21" xfId="0" applyNumberFormat="1" applyBorder="1" applyAlignment="1">
      <alignment vertical="center"/>
    </xf>
    <xf numFmtId="3" fontId="0" fillId="0" borderId="20" xfId="0" applyNumberFormat="1" applyFill="1" applyBorder="1" applyAlignment="1">
      <alignment vertical="center"/>
    </xf>
    <xf numFmtId="10" fontId="0" fillId="0" borderId="18" xfId="0" applyNumberFormat="1" applyFill="1" applyBorder="1" applyAlignment="1">
      <alignment horizontal="center" vertical="center"/>
    </xf>
    <xf numFmtId="0" fontId="0" fillId="0" borderId="21" xfId="0" applyBorder="1" applyAlignment="1">
      <alignment vertical="center"/>
    </xf>
    <xf numFmtId="3" fontId="0" fillId="0" borderId="26" xfId="0" applyNumberFormat="1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3" fontId="0" fillId="0" borderId="2" xfId="0" applyNumberFormat="1" applyFont="1" applyBorder="1" applyAlignment="1">
      <alignment vertical="center"/>
    </xf>
    <xf numFmtId="3" fontId="0" fillId="0" borderId="6" xfId="0" applyNumberFormat="1" applyFont="1" applyBorder="1" applyAlignment="1">
      <alignment vertical="center"/>
    </xf>
    <xf numFmtId="10" fontId="0" fillId="0" borderId="9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3" fontId="0" fillId="0" borderId="33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34" xfId="0" applyNumberForma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3" fontId="0" fillId="0" borderId="35" xfId="0" applyNumberFormat="1" applyBorder="1" applyAlignment="1">
      <alignment vertical="center"/>
    </xf>
    <xf numFmtId="3" fontId="0" fillId="0" borderId="0" xfId="0" applyNumberFormat="1" applyBorder="1" applyAlignment="1">
      <alignment vertical="center"/>
    </xf>
    <xf numFmtId="3" fontId="0" fillId="0" borderId="36" xfId="0" applyNumberForma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3" fontId="0" fillId="0" borderId="37" xfId="0" applyNumberFormat="1" applyBorder="1" applyAlignment="1">
      <alignment vertical="center"/>
    </xf>
    <xf numFmtId="3" fontId="0" fillId="0" borderId="38" xfId="0" applyNumberFormat="1" applyBorder="1" applyAlignment="1">
      <alignment vertical="center"/>
    </xf>
    <xf numFmtId="3" fontId="0" fillId="0" borderId="39" xfId="0" applyNumberForma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3" fontId="0" fillId="0" borderId="4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3" fontId="0" fillId="0" borderId="36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0" fontId="0" fillId="0" borderId="23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22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2" fillId="0" borderId="14" xfId="0" quotePrefix="1" applyFont="1" applyBorder="1" applyAlignment="1">
      <alignment horizontal="center" vertical="center" wrapText="1"/>
    </xf>
    <xf numFmtId="3" fontId="0" fillId="0" borderId="2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8E324-4368-784E-9590-6929F1C3FD36}">
  <sheetPr>
    <pageSetUpPr fitToPage="1"/>
  </sheetPr>
  <dimension ref="A1:Z24"/>
  <sheetViews>
    <sheetView tabSelected="1" zoomScale="110" zoomScaleNormal="110" workbookViewId="0">
      <selection activeCell="I9" sqref="I9:I12"/>
    </sheetView>
  </sheetViews>
  <sheetFormatPr baseColWidth="10" defaultRowHeight="16" x14ac:dyDescent="0.2"/>
  <cols>
    <col min="1" max="1" width="25" style="19" customWidth="1"/>
    <col min="2" max="2" width="12.1640625" style="19" customWidth="1"/>
    <col min="3" max="4" width="8.33203125" style="19" customWidth="1"/>
    <col min="5" max="5" width="8.6640625" style="19" customWidth="1"/>
    <col min="6" max="6" width="8" style="19" customWidth="1"/>
    <col min="7" max="7" width="9.1640625" style="19" customWidth="1"/>
    <col min="8" max="8" width="11.33203125" style="19" customWidth="1"/>
    <col min="9" max="9" width="13.1640625" style="19" customWidth="1"/>
    <col min="10" max="10" width="7.33203125" style="19" customWidth="1"/>
    <col min="11" max="11" width="9.83203125" style="19" customWidth="1"/>
    <col min="12" max="12" width="8" style="19" customWidth="1"/>
    <col min="13" max="14" width="9.83203125" style="19" customWidth="1"/>
    <col min="15" max="16" width="10.83203125" style="19"/>
    <col min="17" max="17" width="11.83203125" style="19" customWidth="1"/>
    <col min="18" max="16384" width="10.83203125" style="19"/>
  </cols>
  <sheetData>
    <row r="1" spans="1:26" ht="18" thickTop="1" thickBot="1" x14ac:dyDescent="0.25">
      <c r="A1" s="96"/>
      <c r="B1" s="97"/>
      <c r="C1" s="116" t="s">
        <v>37</v>
      </c>
      <c r="D1" s="117"/>
      <c r="E1" s="117"/>
      <c r="F1" s="117"/>
      <c r="G1" s="118"/>
      <c r="H1" s="116" t="s">
        <v>36</v>
      </c>
      <c r="I1" s="117"/>
      <c r="J1" s="117"/>
      <c r="K1" s="117"/>
      <c r="L1" s="117"/>
      <c r="M1" s="117"/>
      <c r="N1" s="117"/>
      <c r="O1" s="117"/>
      <c r="P1" s="118"/>
      <c r="Q1" s="116" t="s">
        <v>38</v>
      </c>
      <c r="R1" s="117"/>
      <c r="S1" s="117"/>
      <c r="T1" s="118"/>
      <c r="U1" s="116" t="s">
        <v>39</v>
      </c>
      <c r="V1" s="117"/>
      <c r="W1" s="118"/>
      <c r="X1" s="116" t="s">
        <v>30</v>
      </c>
      <c r="Y1" s="117"/>
      <c r="Z1" s="118"/>
    </row>
    <row r="2" spans="1:26" ht="17" thickTop="1" x14ac:dyDescent="0.2">
      <c r="A2" s="20" t="s">
        <v>29</v>
      </c>
      <c r="B2" s="21" t="s">
        <v>0</v>
      </c>
      <c r="C2" s="22" t="s">
        <v>48</v>
      </c>
      <c r="D2" s="85" t="s">
        <v>49</v>
      </c>
      <c r="E2" s="89" t="s">
        <v>12</v>
      </c>
      <c r="F2" s="23" t="b">
        <v>1</v>
      </c>
      <c r="G2" s="20" t="s">
        <v>32</v>
      </c>
      <c r="H2" s="22" t="s">
        <v>26</v>
      </c>
      <c r="I2" s="23" t="s">
        <v>23</v>
      </c>
      <c r="J2" s="23" t="s">
        <v>33</v>
      </c>
      <c r="K2" s="23" t="s">
        <v>24</v>
      </c>
      <c r="L2" s="23" t="s">
        <v>25</v>
      </c>
      <c r="M2" s="22" t="s">
        <v>12</v>
      </c>
      <c r="N2" s="22"/>
      <c r="O2" s="23" t="s">
        <v>25</v>
      </c>
      <c r="P2" s="20" t="s">
        <v>28</v>
      </c>
      <c r="Q2" s="24" t="s">
        <v>40</v>
      </c>
      <c r="R2" s="23" t="s">
        <v>12</v>
      </c>
      <c r="S2" s="25" t="s">
        <v>25</v>
      </c>
      <c r="T2" s="20" t="s">
        <v>35</v>
      </c>
      <c r="U2" s="26" t="s">
        <v>40</v>
      </c>
      <c r="V2" s="27" t="s">
        <v>12</v>
      </c>
      <c r="W2" s="28" t="s">
        <v>25</v>
      </c>
      <c r="X2" s="26" t="s">
        <v>40</v>
      </c>
      <c r="Y2" s="29" t="s">
        <v>12</v>
      </c>
      <c r="Z2" s="30" t="s">
        <v>25</v>
      </c>
    </row>
    <row r="3" spans="1:26" x14ac:dyDescent="0.2">
      <c r="A3" s="31" t="s">
        <v>13</v>
      </c>
      <c r="B3" s="140" t="s">
        <v>1</v>
      </c>
      <c r="C3" s="82">
        <v>7</v>
      </c>
      <c r="D3" s="87">
        <f>C3</f>
        <v>7</v>
      </c>
      <c r="E3" s="33">
        <f>C3*D3</f>
        <v>49</v>
      </c>
      <c r="F3" s="32">
        <v>8</v>
      </c>
      <c r="G3" s="14">
        <f t="shared" ref="G3:G12" si="0">F3/E3</f>
        <v>0.16326530612244897</v>
      </c>
      <c r="H3" s="34">
        <v>1</v>
      </c>
      <c r="I3" s="146">
        <v>0</v>
      </c>
      <c r="J3" s="144" t="s">
        <v>27</v>
      </c>
      <c r="K3" s="145">
        <f>100*5</f>
        <v>500</v>
      </c>
      <c r="L3" s="120">
        <f>I3*K3</f>
        <v>0</v>
      </c>
      <c r="M3" s="16">
        <f t="shared" ref="M3:M8" si="1">E3*H3*L$3</f>
        <v>0</v>
      </c>
      <c r="N3" s="79"/>
      <c r="O3" s="119">
        <f>SUM(M3:M8)</f>
        <v>0</v>
      </c>
      <c r="P3" s="137">
        <f>O3/(O$3+O$9+O$13)</f>
        <v>0</v>
      </c>
      <c r="Q3" s="138" t="s">
        <v>41</v>
      </c>
      <c r="R3" s="15">
        <f>E3*H3*3*K$3</f>
        <v>73500</v>
      </c>
      <c r="S3" s="119">
        <f>SUM(R3:R8)</f>
        <v>1348500</v>
      </c>
      <c r="T3" s="123">
        <f>S3/(S$3+S$9+S$13)</f>
        <v>0.82753922910287014</v>
      </c>
      <c r="U3" s="127" t="s">
        <v>42</v>
      </c>
      <c r="V3" s="15">
        <f>E3*H3*1*K$3</f>
        <v>24500</v>
      </c>
      <c r="W3" s="130">
        <f>SUM(V3:V8)</f>
        <v>449500</v>
      </c>
      <c r="X3" s="127" t="s">
        <v>43</v>
      </c>
      <c r="Y3" s="15">
        <f>E3*H3*1*K$3</f>
        <v>24500</v>
      </c>
      <c r="Z3" s="130">
        <f>SUM(Y3:Y8)</f>
        <v>449500</v>
      </c>
    </row>
    <row r="4" spans="1:26" x14ac:dyDescent="0.2">
      <c r="A4" s="3" t="s">
        <v>14</v>
      </c>
      <c r="B4" s="141"/>
      <c r="C4" s="83">
        <v>18</v>
      </c>
      <c r="D4" s="86">
        <f t="shared" ref="D4:D8" si="2">C4</f>
        <v>18</v>
      </c>
      <c r="E4" s="36">
        <f t="shared" ref="E4:E8" si="3">C4*D4</f>
        <v>324</v>
      </c>
      <c r="F4" s="35">
        <v>19</v>
      </c>
      <c r="G4" s="9">
        <f t="shared" si="0"/>
        <v>5.8641975308641972E-2</v>
      </c>
      <c r="H4" s="37">
        <v>1</v>
      </c>
      <c r="I4" s="99"/>
      <c r="J4" s="114"/>
      <c r="K4" s="106"/>
      <c r="L4" s="121"/>
      <c r="M4" s="17">
        <f t="shared" si="1"/>
        <v>0</v>
      </c>
      <c r="N4" s="80"/>
      <c r="O4" s="108"/>
      <c r="P4" s="125"/>
      <c r="Q4" s="111"/>
      <c r="R4" s="12">
        <f t="shared" ref="R4:R8" si="4">E4*H4*3*K$3</f>
        <v>486000</v>
      </c>
      <c r="S4" s="99"/>
      <c r="T4" s="102"/>
      <c r="U4" s="128"/>
      <c r="V4" s="12">
        <f t="shared" ref="V4:V8" si="5">E4*H4*1*K$3</f>
        <v>162000</v>
      </c>
      <c r="W4" s="131"/>
      <c r="X4" s="128"/>
      <c r="Y4" s="12">
        <f t="shared" ref="Y4:Y8" si="6">E4*H4*1*K$3</f>
        <v>162000</v>
      </c>
      <c r="Z4" s="131"/>
    </row>
    <row r="5" spans="1:26" x14ac:dyDescent="0.2">
      <c r="A5" s="3" t="s">
        <v>15</v>
      </c>
      <c r="B5" s="141"/>
      <c r="C5" s="83">
        <v>6</v>
      </c>
      <c r="D5" s="86">
        <f t="shared" si="2"/>
        <v>6</v>
      </c>
      <c r="E5" s="36">
        <f t="shared" si="3"/>
        <v>36</v>
      </c>
      <c r="F5" s="35">
        <v>6</v>
      </c>
      <c r="G5" s="9">
        <f t="shared" si="0"/>
        <v>0.16666666666666666</v>
      </c>
      <c r="H5" s="37">
        <v>1</v>
      </c>
      <c r="I5" s="99"/>
      <c r="J5" s="114"/>
      <c r="K5" s="106"/>
      <c r="L5" s="121"/>
      <c r="M5" s="17">
        <f t="shared" si="1"/>
        <v>0</v>
      </c>
      <c r="N5" s="80"/>
      <c r="O5" s="108"/>
      <c r="P5" s="125"/>
      <c r="Q5" s="111"/>
      <c r="R5" s="12">
        <f t="shared" si="4"/>
        <v>54000</v>
      </c>
      <c r="S5" s="99"/>
      <c r="T5" s="102"/>
      <c r="U5" s="128"/>
      <c r="V5" s="12">
        <f t="shared" si="5"/>
        <v>18000</v>
      </c>
      <c r="W5" s="131"/>
      <c r="X5" s="128"/>
      <c r="Y5" s="12">
        <f t="shared" si="6"/>
        <v>18000</v>
      </c>
      <c r="Z5" s="131"/>
    </row>
    <row r="6" spans="1:26" x14ac:dyDescent="0.2">
      <c r="A6" s="3" t="s">
        <v>16</v>
      </c>
      <c r="B6" s="141"/>
      <c r="C6" s="83">
        <v>7</v>
      </c>
      <c r="D6" s="86">
        <f t="shared" si="2"/>
        <v>7</v>
      </c>
      <c r="E6" s="36">
        <f t="shared" si="3"/>
        <v>49</v>
      </c>
      <c r="F6" s="35">
        <v>12</v>
      </c>
      <c r="G6" s="9">
        <f t="shared" si="0"/>
        <v>0.24489795918367346</v>
      </c>
      <c r="H6" s="37">
        <v>2</v>
      </c>
      <c r="I6" s="99"/>
      <c r="J6" s="114"/>
      <c r="K6" s="106"/>
      <c r="L6" s="121"/>
      <c r="M6" s="17">
        <f t="shared" si="1"/>
        <v>0</v>
      </c>
      <c r="N6" s="80"/>
      <c r="O6" s="108"/>
      <c r="P6" s="125"/>
      <c r="Q6" s="111"/>
      <c r="R6" s="12">
        <f t="shared" si="4"/>
        <v>147000</v>
      </c>
      <c r="S6" s="99"/>
      <c r="T6" s="102"/>
      <c r="U6" s="128"/>
      <c r="V6" s="12">
        <f t="shared" si="5"/>
        <v>49000</v>
      </c>
      <c r="W6" s="131"/>
      <c r="X6" s="128"/>
      <c r="Y6" s="12">
        <f t="shared" si="6"/>
        <v>49000</v>
      </c>
      <c r="Z6" s="131"/>
    </row>
    <row r="7" spans="1:26" x14ac:dyDescent="0.2">
      <c r="A7" s="3" t="s">
        <v>17</v>
      </c>
      <c r="B7" s="141"/>
      <c r="C7" s="83">
        <v>10</v>
      </c>
      <c r="D7" s="86">
        <f t="shared" si="2"/>
        <v>10</v>
      </c>
      <c r="E7" s="36">
        <f t="shared" si="3"/>
        <v>100</v>
      </c>
      <c r="F7" s="35">
        <v>18</v>
      </c>
      <c r="G7" s="9">
        <f t="shared" si="0"/>
        <v>0.18</v>
      </c>
      <c r="H7" s="37">
        <v>2</v>
      </c>
      <c r="I7" s="99"/>
      <c r="J7" s="114"/>
      <c r="K7" s="106"/>
      <c r="L7" s="121"/>
      <c r="M7" s="17">
        <f t="shared" si="1"/>
        <v>0</v>
      </c>
      <c r="N7" s="80"/>
      <c r="O7" s="108"/>
      <c r="P7" s="125"/>
      <c r="Q7" s="111"/>
      <c r="R7" s="12">
        <f t="shared" si="4"/>
        <v>300000</v>
      </c>
      <c r="S7" s="99"/>
      <c r="T7" s="102"/>
      <c r="U7" s="128"/>
      <c r="V7" s="12">
        <f t="shared" si="5"/>
        <v>100000</v>
      </c>
      <c r="W7" s="131"/>
      <c r="X7" s="128"/>
      <c r="Y7" s="12">
        <f t="shared" si="6"/>
        <v>100000</v>
      </c>
      <c r="Z7" s="131"/>
    </row>
    <row r="8" spans="1:26" ht="17" thickBot="1" x14ac:dyDescent="0.25">
      <c r="A8" s="4" t="s">
        <v>18</v>
      </c>
      <c r="B8" s="142"/>
      <c r="C8" s="84">
        <v>8</v>
      </c>
      <c r="D8" s="88">
        <f t="shared" si="2"/>
        <v>8</v>
      </c>
      <c r="E8" s="39">
        <f t="shared" si="3"/>
        <v>64</v>
      </c>
      <c r="F8" s="38">
        <v>20</v>
      </c>
      <c r="G8" s="10">
        <f t="shared" si="0"/>
        <v>0.3125</v>
      </c>
      <c r="H8" s="40">
        <v>3</v>
      </c>
      <c r="I8" s="100"/>
      <c r="J8" s="115"/>
      <c r="K8" s="107"/>
      <c r="L8" s="122"/>
      <c r="M8" s="18">
        <f t="shared" si="1"/>
        <v>0</v>
      </c>
      <c r="N8" s="81"/>
      <c r="O8" s="109"/>
      <c r="P8" s="126"/>
      <c r="Q8" s="112"/>
      <c r="R8" s="13">
        <f t="shared" si="4"/>
        <v>288000</v>
      </c>
      <c r="S8" s="100"/>
      <c r="T8" s="103"/>
      <c r="U8" s="129"/>
      <c r="V8" s="13">
        <f t="shared" si="5"/>
        <v>96000</v>
      </c>
      <c r="W8" s="132"/>
      <c r="X8" s="129"/>
      <c r="Y8" s="13">
        <f t="shared" si="6"/>
        <v>96000</v>
      </c>
      <c r="Z8" s="132"/>
    </row>
    <row r="9" spans="1:26" ht="17" thickTop="1" x14ac:dyDescent="0.2">
      <c r="A9" s="41" t="s">
        <v>19</v>
      </c>
      <c r="B9" s="143" t="s">
        <v>2</v>
      </c>
      <c r="C9" s="42">
        <v>5</v>
      </c>
      <c r="D9" s="35">
        <f>C9</f>
        <v>5</v>
      </c>
      <c r="E9" s="36">
        <f>C9*D9</f>
        <v>25</v>
      </c>
      <c r="F9" s="44">
        <v>14</v>
      </c>
      <c r="G9" s="45">
        <f t="shared" si="0"/>
        <v>0.56000000000000005</v>
      </c>
      <c r="H9" s="46">
        <v>2</v>
      </c>
      <c r="I9" s="104">
        <v>1</v>
      </c>
      <c r="J9" s="113" t="s">
        <v>44</v>
      </c>
      <c r="K9" s="105">
        <f>10*3</f>
        <v>30</v>
      </c>
      <c r="L9" s="98">
        <f>I9*K9</f>
        <v>30</v>
      </c>
      <c r="M9" s="5">
        <f>E9*H9*L$9</f>
        <v>1500</v>
      </c>
      <c r="N9" s="76"/>
      <c r="O9" s="98">
        <f>SUM(M9:M12)</f>
        <v>47280</v>
      </c>
      <c r="P9" s="101">
        <f>O9/(O3+O9+O13)</f>
        <v>0.20621164607312489</v>
      </c>
      <c r="Q9" s="110" t="s">
        <v>45</v>
      </c>
      <c r="R9" s="5">
        <f>E9*H9*3*K$9</f>
        <v>4500</v>
      </c>
      <c r="S9" s="98">
        <f>SUM(R9:R12)</f>
        <v>141840</v>
      </c>
      <c r="T9" s="101">
        <f>S9/(S3+S9+S13)</f>
        <v>8.704350334145429E-2</v>
      </c>
      <c r="U9" s="134" t="s">
        <v>46</v>
      </c>
      <c r="V9" s="5">
        <f>E9*H9*1*K$9</f>
        <v>1500</v>
      </c>
      <c r="W9" s="133">
        <f>SUM(V9:V12)</f>
        <v>47280</v>
      </c>
      <c r="X9" s="134" t="s">
        <v>47</v>
      </c>
      <c r="Y9" s="5">
        <f>E9*H9*1*K$9</f>
        <v>1500</v>
      </c>
      <c r="Z9" s="133">
        <f>SUM(Y9:Y12)</f>
        <v>47280</v>
      </c>
    </row>
    <row r="10" spans="1:26" x14ac:dyDescent="0.2">
      <c r="A10" s="3" t="s">
        <v>20</v>
      </c>
      <c r="B10" s="141"/>
      <c r="C10" s="47">
        <v>8</v>
      </c>
      <c r="D10" s="35">
        <f t="shared" ref="D10:D12" si="7">C10</f>
        <v>8</v>
      </c>
      <c r="E10" s="36">
        <f t="shared" ref="E10:E12" si="8">C10*D10</f>
        <v>64</v>
      </c>
      <c r="F10" s="48">
        <v>15</v>
      </c>
      <c r="G10" s="49">
        <f t="shared" si="0"/>
        <v>0.234375</v>
      </c>
      <c r="H10" s="50">
        <v>5</v>
      </c>
      <c r="I10" s="99"/>
      <c r="J10" s="114"/>
      <c r="K10" s="106"/>
      <c r="L10" s="108"/>
      <c r="M10" s="12">
        <f>E10*H10*L$9</f>
        <v>9600</v>
      </c>
      <c r="N10" s="77"/>
      <c r="O10" s="108"/>
      <c r="P10" s="102"/>
      <c r="Q10" s="111"/>
      <c r="R10" s="12">
        <f>E10*H10*3*K$9</f>
        <v>28800</v>
      </c>
      <c r="S10" s="99"/>
      <c r="T10" s="102"/>
      <c r="U10" s="135"/>
      <c r="V10" s="12">
        <f>E10*H10*1*K$9</f>
        <v>9600</v>
      </c>
      <c r="W10" s="131"/>
      <c r="X10" s="135"/>
      <c r="Y10" s="12">
        <f>E10*H10*1*K$9</f>
        <v>9600</v>
      </c>
      <c r="Z10" s="131"/>
    </row>
    <row r="11" spans="1:26" x14ac:dyDescent="0.2">
      <c r="A11" s="3" t="s">
        <v>21</v>
      </c>
      <c r="B11" s="141"/>
      <c r="C11" s="47">
        <v>11</v>
      </c>
      <c r="D11" s="35">
        <f t="shared" si="7"/>
        <v>11</v>
      </c>
      <c r="E11" s="36">
        <f t="shared" si="8"/>
        <v>121</v>
      </c>
      <c r="F11" s="48">
        <v>30</v>
      </c>
      <c r="G11" s="49">
        <f t="shared" si="0"/>
        <v>0.24793388429752067</v>
      </c>
      <c r="H11" s="50">
        <v>4</v>
      </c>
      <c r="I11" s="99"/>
      <c r="J11" s="114"/>
      <c r="K11" s="106"/>
      <c r="L11" s="108"/>
      <c r="M11" s="12">
        <f>E11*H11*L$9</f>
        <v>14520</v>
      </c>
      <c r="N11" s="77"/>
      <c r="O11" s="108"/>
      <c r="P11" s="102"/>
      <c r="Q11" s="111"/>
      <c r="R11" s="12">
        <f>E11*H11*3*K$9</f>
        <v>43560</v>
      </c>
      <c r="S11" s="99"/>
      <c r="T11" s="102"/>
      <c r="U11" s="135"/>
      <c r="V11" s="12">
        <f>E11*H11*1*K$9</f>
        <v>14520</v>
      </c>
      <c r="W11" s="131"/>
      <c r="X11" s="135"/>
      <c r="Y11" s="12">
        <f>E11*H11*1*K$9</f>
        <v>14520</v>
      </c>
      <c r="Z11" s="131"/>
    </row>
    <row r="12" spans="1:26" ht="17" thickBot="1" x14ac:dyDescent="0.25">
      <c r="A12" s="4" t="s">
        <v>22</v>
      </c>
      <c r="B12" s="142"/>
      <c r="C12" s="51">
        <v>19</v>
      </c>
      <c r="D12" s="35">
        <f t="shared" si="7"/>
        <v>19</v>
      </c>
      <c r="E12" s="36">
        <f t="shared" si="8"/>
        <v>361</v>
      </c>
      <c r="F12" s="52">
        <v>79</v>
      </c>
      <c r="G12" s="53">
        <f t="shared" si="0"/>
        <v>0.2188365650969529</v>
      </c>
      <c r="H12" s="54">
        <v>2</v>
      </c>
      <c r="I12" s="100"/>
      <c r="J12" s="115"/>
      <c r="K12" s="107"/>
      <c r="L12" s="109"/>
      <c r="M12" s="12">
        <f>E12*H12*L$9</f>
        <v>21660</v>
      </c>
      <c r="N12" s="78"/>
      <c r="O12" s="109"/>
      <c r="P12" s="103"/>
      <c r="Q12" s="112"/>
      <c r="R12" s="13">
        <f>E12*H12*3*K$9</f>
        <v>64980</v>
      </c>
      <c r="S12" s="100"/>
      <c r="T12" s="103"/>
      <c r="U12" s="136"/>
      <c r="V12" s="13">
        <f>E12*H12*1*K$9</f>
        <v>21660</v>
      </c>
      <c r="W12" s="132"/>
      <c r="X12" s="136"/>
      <c r="Y12" s="13">
        <f>E12*H12*1*K$9</f>
        <v>21660</v>
      </c>
      <c r="Z12" s="132"/>
    </row>
    <row r="13" spans="1:26" ht="17" thickTop="1" x14ac:dyDescent="0.2">
      <c r="A13" s="41" t="s">
        <v>5</v>
      </c>
      <c r="B13" s="143" t="s">
        <v>3</v>
      </c>
      <c r="C13" s="55">
        <v>33</v>
      </c>
      <c r="D13" s="55">
        <v>533</v>
      </c>
      <c r="E13" s="43">
        <f t="shared" ref="E13:E19" si="9">C13*D13</f>
        <v>17589</v>
      </c>
      <c r="F13" s="43">
        <v>9592</v>
      </c>
      <c r="G13" s="8">
        <f t="shared" ref="G13:G19" si="10">F13/E13</f>
        <v>0.54534083802376487</v>
      </c>
      <c r="H13" s="56">
        <v>1</v>
      </c>
      <c r="I13" s="104" t="s">
        <v>4</v>
      </c>
      <c r="J13" s="57">
        <v>1071</v>
      </c>
      <c r="K13" s="104" t="s">
        <v>4</v>
      </c>
      <c r="L13" s="139" t="s">
        <v>4</v>
      </c>
      <c r="M13" s="90">
        <f t="shared" ref="M13:M19" si="11">E13*H13</f>
        <v>17589</v>
      </c>
      <c r="N13" s="94">
        <f>M13/SUM(M$13:M$19)</f>
        <v>9.6643388150484344E-2</v>
      </c>
      <c r="O13" s="139">
        <f>SUM(M13:M19)</f>
        <v>181999</v>
      </c>
      <c r="P13" s="124">
        <f>O13/(O3+O9+O13)</f>
        <v>0.79378835392687508</v>
      </c>
      <c r="Q13" s="58" t="s">
        <v>31</v>
      </c>
      <c r="R13" s="5">
        <f>E13</f>
        <v>17589</v>
      </c>
      <c r="S13" s="98">
        <f>SUM(R13,R14,R16,R18)</f>
        <v>139190</v>
      </c>
      <c r="T13" s="124">
        <f>S13/(S3+S9+S13)</f>
        <v>8.5417267555675566E-2</v>
      </c>
      <c r="U13" s="59" t="s">
        <v>34</v>
      </c>
      <c r="V13" s="11" t="s">
        <v>34</v>
      </c>
      <c r="W13" s="133">
        <f>SUM(V15)</f>
        <v>12029</v>
      </c>
      <c r="X13" s="58" t="s">
        <v>34</v>
      </c>
      <c r="Y13" s="11" t="s">
        <v>34</v>
      </c>
      <c r="Z13" s="133">
        <f>SUM(Y17,Y19)</f>
        <v>30780</v>
      </c>
    </row>
    <row r="14" spans="1:26" x14ac:dyDescent="0.2">
      <c r="A14" s="3" t="s">
        <v>6</v>
      </c>
      <c r="B14" s="141"/>
      <c r="C14" s="35">
        <v>16</v>
      </c>
      <c r="D14" s="35">
        <v>516</v>
      </c>
      <c r="E14" s="36">
        <f t="shared" si="9"/>
        <v>8256</v>
      </c>
      <c r="F14" s="36">
        <v>4026</v>
      </c>
      <c r="G14" s="9">
        <f t="shared" si="10"/>
        <v>0.48764534883720928</v>
      </c>
      <c r="H14" s="37">
        <v>1</v>
      </c>
      <c r="I14" s="99"/>
      <c r="J14" s="60">
        <v>847</v>
      </c>
      <c r="K14" s="99"/>
      <c r="L14" s="121"/>
      <c r="M14" s="91">
        <f t="shared" si="11"/>
        <v>8256</v>
      </c>
      <c r="N14" s="94">
        <f t="shared" ref="N14:N19" si="12">M14/SUM(M$13:M$19)</f>
        <v>4.5362886609267086E-2</v>
      </c>
      <c r="O14" s="121"/>
      <c r="P14" s="125"/>
      <c r="Q14" s="61" t="s">
        <v>31</v>
      </c>
      <c r="R14" s="12">
        <f>E14</f>
        <v>8256</v>
      </c>
      <c r="S14" s="108"/>
      <c r="T14" s="125"/>
      <c r="U14" s="62" t="s">
        <v>34</v>
      </c>
      <c r="V14" s="6" t="s">
        <v>34</v>
      </c>
      <c r="W14" s="131"/>
      <c r="X14" s="61" t="s">
        <v>34</v>
      </c>
      <c r="Y14" s="6" t="s">
        <v>34</v>
      </c>
      <c r="Z14" s="131"/>
    </row>
    <row r="15" spans="1:26" x14ac:dyDescent="0.2">
      <c r="A15" s="3" t="s">
        <v>7</v>
      </c>
      <c r="B15" s="141"/>
      <c r="C15" s="35">
        <v>23</v>
      </c>
      <c r="D15" s="35">
        <v>523</v>
      </c>
      <c r="E15" s="36">
        <f t="shared" si="9"/>
        <v>12029</v>
      </c>
      <c r="F15" s="36">
        <v>6587</v>
      </c>
      <c r="G15" s="9">
        <f t="shared" si="10"/>
        <v>0.54759331615263118</v>
      </c>
      <c r="H15" s="37">
        <v>1</v>
      </c>
      <c r="I15" s="99"/>
      <c r="J15" s="60">
        <v>889</v>
      </c>
      <c r="K15" s="99"/>
      <c r="L15" s="121"/>
      <c r="M15" s="91">
        <f t="shared" si="11"/>
        <v>12029</v>
      </c>
      <c r="N15" s="94">
        <f t="shared" si="12"/>
        <v>6.6093769745987616E-2</v>
      </c>
      <c r="O15" s="121"/>
      <c r="P15" s="125"/>
      <c r="Q15" s="61" t="s">
        <v>34</v>
      </c>
      <c r="R15" s="6" t="s">
        <v>34</v>
      </c>
      <c r="S15" s="108"/>
      <c r="T15" s="125"/>
      <c r="U15" s="62" t="s">
        <v>31</v>
      </c>
      <c r="V15" s="12">
        <f>E15</f>
        <v>12029</v>
      </c>
      <c r="W15" s="131"/>
      <c r="X15" s="61" t="s">
        <v>34</v>
      </c>
      <c r="Y15" s="6" t="s">
        <v>34</v>
      </c>
      <c r="Z15" s="131"/>
    </row>
    <row r="16" spans="1:26" x14ac:dyDescent="0.2">
      <c r="A16" s="3" t="s">
        <v>8</v>
      </c>
      <c r="B16" s="141"/>
      <c r="C16" s="35">
        <v>142</v>
      </c>
      <c r="D16" s="35">
        <v>642</v>
      </c>
      <c r="E16" s="36">
        <f t="shared" si="9"/>
        <v>91164</v>
      </c>
      <c r="F16" s="36">
        <v>20580</v>
      </c>
      <c r="G16" s="9">
        <f t="shared" si="10"/>
        <v>0.22574700539686718</v>
      </c>
      <c r="H16" s="37">
        <v>1</v>
      </c>
      <c r="I16" s="99"/>
      <c r="J16" s="60">
        <v>421</v>
      </c>
      <c r="K16" s="99"/>
      <c r="L16" s="121"/>
      <c r="M16" s="91">
        <f t="shared" si="11"/>
        <v>91164</v>
      </c>
      <c r="N16" s="94">
        <f t="shared" si="12"/>
        <v>0.50090385112006108</v>
      </c>
      <c r="O16" s="121"/>
      <c r="P16" s="125"/>
      <c r="Q16" s="61" t="s">
        <v>31</v>
      </c>
      <c r="R16" s="12">
        <f>E16</f>
        <v>91164</v>
      </c>
      <c r="S16" s="108"/>
      <c r="T16" s="125"/>
      <c r="U16" s="62" t="s">
        <v>34</v>
      </c>
      <c r="V16" s="6" t="s">
        <v>34</v>
      </c>
      <c r="W16" s="131"/>
      <c r="X16" s="61" t="s">
        <v>34</v>
      </c>
      <c r="Y16" s="6" t="s">
        <v>34</v>
      </c>
      <c r="Z16" s="131"/>
    </row>
    <row r="17" spans="1:26" x14ac:dyDescent="0.2">
      <c r="A17" s="63" t="s">
        <v>9</v>
      </c>
      <c r="B17" s="141"/>
      <c r="C17" s="64">
        <v>22</v>
      </c>
      <c r="D17" s="64">
        <v>522</v>
      </c>
      <c r="E17" s="65">
        <f t="shared" si="9"/>
        <v>11484</v>
      </c>
      <c r="F17" s="65">
        <v>494</v>
      </c>
      <c r="G17" s="66">
        <f t="shared" si="10"/>
        <v>4.30163706025775E-2</v>
      </c>
      <c r="H17" s="67">
        <v>1</v>
      </c>
      <c r="I17" s="99"/>
      <c r="J17" s="68">
        <v>383</v>
      </c>
      <c r="K17" s="99"/>
      <c r="L17" s="121"/>
      <c r="M17" s="92">
        <f t="shared" si="11"/>
        <v>11484</v>
      </c>
      <c r="N17" s="94">
        <f t="shared" si="12"/>
        <v>6.309924779806482E-2</v>
      </c>
      <c r="O17" s="121"/>
      <c r="P17" s="125"/>
      <c r="Q17" s="61" t="s">
        <v>34</v>
      </c>
      <c r="R17" s="6" t="s">
        <v>34</v>
      </c>
      <c r="S17" s="108"/>
      <c r="T17" s="125"/>
      <c r="U17" s="62" t="s">
        <v>34</v>
      </c>
      <c r="V17" s="6" t="s">
        <v>34</v>
      </c>
      <c r="W17" s="131"/>
      <c r="X17" s="61" t="s">
        <v>31</v>
      </c>
      <c r="Y17" s="12">
        <f>E17</f>
        <v>11484</v>
      </c>
      <c r="Z17" s="131"/>
    </row>
    <row r="18" spans="1:26" x14ac:dyDescent="0.2">
      <c r="A18" s="3" t="s">
        <v>10</v>
      </c>
      <c r="B18" s="141"/>
      <c r="C18" s="35">
        <v>41</v>
      </c>
      <c r="D18" s="35">
        <v>541</v>
      </c>
      <c r="E18" s="36">
        <f t="shared" si="9"/>
        <v>22181</v>
      </c>
      <c r="F18" s="36">
        <v>3166</v>
      </c>
      <c r="G18" s="9">
        <f t="shared" si="10"/>
        <v>0.14273477300392229</v>
      </c>
      <c r="H18" s="37">
        <v>1</v>
      </c>
      <c r="I18" s="99"/>
      <c r="J18" s="60">
        <v>758</v>
      </c>
      <c r="K18" s="99"/>
      <c r="L18" s="121"/>
      <c r="M18" s="91">
        <f t="shared" si="11"/>
        <v>22181</v>
      </c>
      <c r="N18" s="94">
        <f t="shared" si="12"/>
        <v>0.12187429601261546</v>
      </c>
      <c r="O18" s="121"/>
      <c r="P18" s="125"/>
      <c r="Q18" s="61" t="s">
        <v>31</v>
      </c>
      <c r="R18" s="12">
        <f>E18</f>
        <v>22181</v>
      </c>
      <c r="S18" s="108"/>
      <c r="T18" s="125"/>
      <c r="U18" s="62" t="s">
        <v>34</v>
      </c>
      <c r="V18" s="6" t="s">
        <v>34</v>
      </c>
      <c r="W18" s="131"/>
      <c r="X18" s="61" t="s">
        <v>34</v>
      </c>
      <c r="Y18" s="6" t="s">
        <v>34</v>
      </c>
      <c r="Z18" s="131"/>
    </row>
    <row r="19" spans="1:26" ht="17" thickBot="1" x14ac:dyDescent="0.25">
      <c r="A19" s="4" t="s">
        <v>11</v>
      </c>
      <c r="B19" s="142"/>
      <c r="C19" s="38">
        <v>36</v>
      </c>
      <c r="D19" s="38">
        <v>536</v>
      </c>
      <c r="E19" s="39">
        <f t="shared" si="9"/>
        <v>19296</v>
      </c>
      <c r="F19" s="39">
        <v>6171</v>
      </c>
      <c r="G19" s="10">
        <f t="shared" si="10"/>
        <v>0.31980721393034828</v>
      </c>
      <c r="H19" s="40">
        <v>1</v>
      </c>
      <c r="I19" s="100"/>
      <c r="J19" s="69">
        <v>425</v>
      </c>
      <c r="K19" s="100"/>
      <c r="L19" s="122"/>
      <c r="M19" s="93">
        <f t="shared" si="11"/>
        <v>19296</v>
      </c>
      <c r="N19" s="95">
        <f t="shared" si="12"/>
        <v>0.10602256056351958</v>
      </c>
      <c r="O19" s="122"/>
      <c r="P19" s="126"/>
      <c r="Q19" s="70" t="s">
        <v>34</v>
      </c>
      <c r="R19" s="7" t="s">
        <v>34</v>
      </c>
      <c r="S19" s="109"/>
      <c r="T19" s="126"/>
      <c r="U19" s="71" t="s">
        <v>34</v>
      </c>
      <c r="V19" s="7" t="s">
        <v>34</v>
      </c>
      <c r="W19" s="132"/>
      <c r="X19" s="70" t="s">
        <v>31</v>
      </c>
      <c r="Y19" s="13">
        <f>E19</f>
        <v>19296</v>
      </c>
      <c r="Z19" s="132"/>
    </row>
    <row r="20" spans="1:26" ht="18" thickTop="1" thickBot="1" x14ac:dyDescent="0.25"/>
    <row r="21" spans="1:26" ht="18" thickTop="1" x14ac:dyDescent="0.2">
      <c r="S21" s="2" t="s">
        <v>25</v>
      </c>
      <c r="T21" s="1"/>
      <c r="W21" s="72" t="s">
        <v>25</v>
      </c>
      <c r="Z21" s="72" t="s">
        <v>25</v>
      </c>
    </row>
    <row r="22" spans="1:26" x14ac:dyDescent="0.2">
      <c r="S22" s="73">
        <f>SUM(S3,S9,S13)</f>
        <v>1629530</v>
      </c>
      <c r="T22" s="74"/>
      <c r="W22" s="73">
        <f>SUM(W3,W9,W13)</f>
        <v>508809</v>
      </c>
      <c r="Z22" s="73">
        <f>SUM(Z3,Z9,Z13)</f>
        <v>527560</v>
      </c>
    </row>
    <row r="23" spans="1:26" ht="17" thickBot="1" x14ac:dyDescent="0.25">
      <c r="S23" s="75">
        <f>S22/SUM(O3,O9,O13)</f>
        <v>7.1071925470714721</v>
      </c>
      <c r="W23" s="75">
        <f>W22/SUM(O3,O9,O13)</f>
        <v>2.2191696579276776</v>
      </c>
      <c r="Z23" s="75">
        <f>Z22/(SUM(O3,O9,O13))</f>
        <v>2.3009521151086667</v>
      </c>
    </row>
    <row r="24" spans="1:26" ht="17" thickTop="1" x14ac:dyDescent="0.2"/>
  </sheetData>
  <mergeCells count="44">
    <mergeCell ref="I13:I19"/>
    <mergeCell ref="K13:K19"/>
    <mergeCell ref="L13:L19"/>
    <mergeCell ref="O13:O19"/>
    <mergeCell ref="B3:B8"/>
    <mergeCell ref="B9:B12"/>
    <mergeCell ref="B13:B19"/>
    <mergeCell ref="J3:J8"/>
    <mergeCell ref="K3:K8"/>
    <mergeCell ref="I3:I8"/>
    <mergeCell ref="S13:S19"/>
    <mergeCell ref="W3:W8"/>
    <mergeCell ref="W13:W19"/>
    <mergeCell ref="P3:P8"/>
    <mergeCell ref="O9:O12"/>
    <mergeCell ref="P9:P12"/>
    <mergeCell ref="P13:P19"/>
    <mergeCell ref="Q3:Q8"/>
    <mergeCell ref="O3:O8"/>
    <mergeCell ref="U1:W1"/>
    <mergeCell ref="X1:Z1"/>
    <mergeCell ref="T3:T8"/>
    <mergeCell ref="T13:T19"/>
    <mergeCell ref="U3:U8"/>
    <mergeCell ref="X3:X8"/>
    <mergeCell ref="Z3:Z8"/>
    <mergeCell ref="Z13:Z19"/>
    <mergeCell ref="U9:U12"/>
    <mergeCell ref="W9:W12"/>
    <mergeCell ref="X9:X12"/>
    <mergeCell ref="Z9:Z12"/>
    <mergeCell ref="A1:B1"/>
    <mergeCell ref="S9:S12"/>
    <mergeCell ref="T9:T12"/>
    <mergeCell ref="I9:I12"/>
    <mergeCell ref="K9:K12"/>
    <mergeCell ref="L9:L12"/>
    <mergeCell ref="Q9:Q12"/>
    <mergeCell ref="J9:J12"/>
    <mergeCell ref="C1:G1"/>
    <mergeCell ref="H1:P1"/>
    <mergeCell ref="Q1:T1"/>
    <mergeCell ref="S3:S8"/>
    <mergeCell ref="L3:L8"/>
  </mergeCells>
  <pageMargins left="0.7" right="0.7" top="0.75" bottom="0.75" header="0.3" footer="0.3"/>
  <pageSetup scale="86" fitToWidth="2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Reagor</dc:creator>
  <cp:lastModifiedBy>Caleb Reagor</cp:lastModifiedBy>
  <cp:lastPrinted>2021-03-18T19:18:12Z</cp:lastPrinted>
  <dcterms:created xsi:type="dcterms:W3CDTF">2021-02-17T23:51:23Z</dcterms:created>
  <dcterms:modified xsi:type="dcterms:W3CDTF">2021-06-07T17:02:07Z</dcterms:modified>
</cp:coreProperties>
</file>