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ttis/Desktop/Carvana/CVNA DCF &amp; EV:"/>
    </mc:Choice>
  </mc:AlternateContent>
  <xr:revisionPtr revIDLastSave="0" documentId="13_ncr:1_{CCEC4DF3-5877-9642-A3D6-1817386DDD66}" xr6:coauthVersionLast="44" xr6:coauthVersionMax="44" xr10:uidLastSave="{00000000-0000-0000-0000-000000000000}"/>
  <bookViews>
    <workbookView xWindow="0" yWindow="600" windowWidth="28800" windowHeight="16220" activeTab="2" xr2:uid="{01FF580B-B2DB-4AC0-AFDE-9133C2B7A33D}"/>
  </bookViews>
  <sheets>
    <sheet name="ValuationOutput" sheetId="11" r:id="rId1"/>
    <sheet name="EV Sales" sheetId="10" r:id="rId2"/>
    <sheet name="DCF" sheetId="4" r:id="rId3"/>
    <sheet name="NWC" sheetId="5" r:id="rId4"/>
    <sheet name="WACC" sheetId="6" r:id="rId5"/>
    <sheet name="AS1" sheetId="7" r:id="rId6"/>
    <sheet name="AS2" sheetId="8" r:id="rId7"/>
    <sheet name="Income Statement" sheetId="1" r:id="rId8"/>
    <sheet name="Balance Sheet" sheetId="2" r:id="rId9"/>
    <sheet name="Cash Flow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7" i="4" l="1"/>
  <c r="O31" i="10" l="1"/>
  <c r="O29" i="10"/>
  <c r="N29" i="10"/>
  <c r="M29" i="10"/>
  <c r="O23" i="10"/>
  <c r="N23" i="10"/>
  <c r="M23" i="10"/>
  <c r="G22" i="6"/>
  <c r="F24" i="4" l="1"/>
  <c r="E11" i="11" l="1"/>
  <c r="E10" i="11"/>
  <c r="E9" i="11"/>
  <c r="G9" i="11" s="1"/>
  <c r="F10" i="11"/>
  <c r="F11" i="11" s="1"/>
  <c r="O31" i="8"/>
  <c r="N31" i="8"/>
  <c r="M31" i="8"/>
  <c r="L31" i="8"/>
  <c r="K31" i="8"/>
  <c r="J31" i="8"/>
  <c r="I31" i="8"/>
  <c r="H31" i="8"/>
  <c r="G31" i="8"/>
  <c r="F31" i="8"/>
  <c r="O26" i="8"/>
  <c r="N26" i="8"/>
  <c r="M26" i="8"/>
  <c r="L26" i="8"/>
  <c r="K26" i="8"/>
  <c r="J26" i="8"/>
  <c r="I26" i="8"/>
  <c r="H26" i="8"/>
  <c r="G26" i="8"/>
  <c r="F26" i="8"/>
  <c r="F20" i="8"/>
  <c r="O15" i="8"/>
  <c r="N15" i="8"/>
  <c r="M15" i="8"/>
  <c r="L15" i="8"/>
  <c r="K15" i="8"/>
  <c r="J15" i="8"/>
  <c r="I15" i="8"/>
  <c r="H15" i="8"/>
  <c r="G15" i="8"/>
  <c r="F15" i="8"/>
  <c r="O10" i="8"/>
  <c r="N10" i="8"/>
  <c r="M10" i="8"/>
  <c r="L10" i="8"/>
  <c r="K10" i="8"/>
  <c r="J10" i="8"/>
  <c r="I10" i="8"/>
  <c r="H10" i="8"/>
  <c r="G10" i="8"/>
  <c r="F10" i="8"/>
  <c r="O31" i="7"/>
  <c r="N31" i="7"/>
  <c r="M31" i="7"/>
  <c r="L31" i="7"/>
  <c r="K31" i="7"/>
  <c r="J31" i="7"/>
  <c r="I31" i="7"/>
  <c r="H31" i="7"/>
  <c r="G31" i="7"/>
  <c r="F31" i="7"/>
  <c r="O25" i="7"/>
  <c r="N25" i="7"/>
  <c r="M25" i="7"/>
  <c r="L25" i="7"/>
  <c r="K25" i="7"/>
  <c r="J25" i="7"/>
  <c r="I25" i="7"/>
  <c r="H25" i="7"/>
  <c r="G25" i="7"/>
  <c r="F25" i="7"/>
  <c r="O20" i="7"/>
  <c r="N20" i="7"/>
  <c r="M20" i="7"/>
  <c r="L20" i="7"/>
  <c r="K20" i="7"/>
  <c r="J20" i="7"/>
  <c r="I20" i="7"/>
  <c r="H20" i="7"/>
  <c r="G20" i="7"/>
  <c r="F20" i="7"/>
  <c r="I15" i="7"/>
  <c r="O10" i="7"/>
  <c r="N10" i="7"/>
  <c r="M10" i="7"/>
  <c r="L10" i="7"/>
  <c r="K10" i="7"/>
  <c r="J10" i="7"/>
  <c r="I10" i="7"/>
  <c r="H10" i="7"/>
  <c r="G10" i="7"/>
  <c r="F10" i="7"/>
  <c r="I18" i="10"/>
  <c r="E9" i="10" s="1"/>
  <c r="G10" i="11" l="1"/>
  <c r="G11" i="11"/>
  <c r="E19" i="10"/>
  <c r="E12" i="10"/>
  <c r="L11" i="10"/>
  <c r="M10" i="10"/>
  <c r="O10" i="10" s="1"/>
  <c r="O9" i="10"/>
  <c r="O8" i="10"/>
  <c r="M31" i="10" l="1"/>
  <c r="N31" i="10"/>
  <c r="O11" i="10"/>
  <c r="M30" i="10" l="1"/>
  <c r="I6" i="10"/>
  <c r="I11" i="10" s="1"/>
  <c r="N30" i="10" s="1"/>
  <c r="U64" i="4" l="1"/>
  <c r="N13" i="7"/>
  <c r="M13" i="7"/>
  <c r="L13" i="7"/>
  <c r="K13" i="7"/>
  <c r="J13" i="7"/>
  <c r="I13" i="7"/>
  <c r="H13" i="7"/>
  <c r="G13" i="7"/>
  <c r="N12" i="7"/>
  <c r="M12" i="7"/>
  <c r="L12" i="7"/>
  <c r="K12" i="7"/>
  <c r="F13" i="7"/>
  <c r="F12" i="7"/>
  <c r="G68" i="4" l="1"/>
  <c r="H68" i="4"/>
  <c r="F68" i="4"/>
  <c r="F16" i="7"/>
  <c r="F15" i="7" s="1"/>
  <c r="O27" i="7" l="1"/>
  <c r="V3" i="4"/>
  <c r="O29" i="8"/>
  <c r="N29" i="8"/>
  <c r="M29" i="8"/>
  <c r="L29" i="8"/>
  <c r="K29" i="8"/>
  <c r="J29" i="8"/>
  <c r="I29" i="8"/>
  <c r="H29" i="8"/>
  <c r="G29" i="8"/>
  <c r="O28" i="8"/>
  <c r="N28" i="8"/>
  <c r="M28" i="8"/>
  <c r="L28" i="8"/>
  <c r="K28" i="8"/>
  <c r="J28" i="8"/>
  <c r="I28" i="8"/>
  <c r="H28" i="8"/>
  <c r="G28" i="8"/>
  <c r="F29" i="8"/>
  <c r="F28" i="8"/>
  <c r="O18" i="8"/>
  <c r="N18" i="8"/>
  <c r="M18" i="8"/>
  <c r="L18" i="8"/>
  <c r="K18" i="8"/>
  <c r="J18" i="8"/>
  <c r="I18" i="8"/>
  <c r="H18" i="8"/>
  <c r="G18" i="8"/>
  <c r="O17" i="8"/>
  <c r="N17" i="8"/>
  <c r="M17" i="8"/>
  <c r="L17" i="8"/>
  <c r="K17" i="8"/>
  <c r="J17" i="8"/>
  <c r="I17" i="8"/>
  <c r="H17" i="8"/>
  <c r="G17" i="8"/>
  <c r="F18" i="8"/>
  <c r="F17" i="8"/>
  <c r="O34" i="8"/>
  <c r="N34" i="8"/>
  <c r="M34" i="8"/>
  <c r="L34" i="8"/>
  <c r="K34" i="8"/>
  <c r="J34" i="8"/>
  <c r="I34" i="8"/>
  <c r="H34" i="8"/>
  <c r="G34" i="8"/>
  <c r="O33" i="8"/>
  <c r="N33" i="8"/>
  <c r="M33" i="8"/>
  <c r="L33" i="8"/>
  <c r="K33" i="8"/>
  <c r="J33" i="8"/>
  <c r="I33" i="8"/>
  <c r="H33" i="8"/>
  <c r="G33" i="8"/>
  <c r="F34" i="8"/>
  <c r="F33" i="8"/>
  <c r="G21" i="8"/>
  <c r="F23" i="8"/>
  <c r="G23" i="8" s="1"/>
  <c r="H23" i="8" s="1"/>
  <c r="I23" i="8" s="1"/>
  <c r="J23" i="8" s="1"/>
  <c r="K23" i="8" s="1"/>
  <c r="L23" i="8" s="1"/>
  <c r="M23" i="8" s="1"/>
  <c r="N23" i="8" s="1"/>
  <c r="O23" i="8" s="1"/>
  <c r="F22" i="8"/>
  <c r="G22" i="8" s="1"/>
  <c r="H22" i="8" s="1"/>
  <c r="I22" i="8" s="1"/>
  <c r="J22" i="8" s="1"/>
  <c r="K22" i="8" s="1"/>
  <c r="L22" i="8" s="1"/>
  <c r="M22" i="8" s="1"/>
  <c r="N22" i="8" s="1"/>
  <c r="O22" i="8" s="1"/>
  <c r="O13" i="8"/>
  <c r="G13" i="8"/>
  <c r="O12" i="8"/>
  <c r="G12" i="8"/>
  <c r="F13" i="8"/>
  <c r="F12" i="8"/>
  <c r="O34" i="7"/>
  <c r="N34" i="7"/>
  <c r="M34" i="7"/>
  <c r="L34" i="7"/>
  <c r="K34" i="7"/>
  <c r="J34" i="7"/>
  <c r="I34" i="7"/>
  <c r="H34" i="7"/>
  <c r="G34" i="7"/>
  <c r="O33" i="7"/>
  <c r="N33" i="7"/>
  <c r="M33" i="7"/>
  <c r="L33" i="7"/>
  <c r="K33" i="7"/>
  <c r="J33" i="7"/>
  <c r="I33" i="7"/>
  <c r="H33" i="7"/>
  <c r="G33" i="7"/>
  <c r="F34" i="7"/>
  <c r="F33" i="7"/>
  <c r="O28" i="7"/>
  <c r="G28" i="7"/>
  <c r="G27" i="7"/>
  <c r="F27" i="7"/>
  <c r="F28" i="7"/>
  <c r="O23" i="7"/>
  <c r="N23" i="7"/>
  <c r="M23" i="7"/>
  <c r="L23" i="7"/>
  <c r="K23" i="7"/>
  <c r="J23" i="7"/>
  <c r="I23" i="7"/>
  <c r="H23" i="7"/>
  <c r="G23" i="7"/>
  <c r="O22" i="7"/>
  <c r="N22" i="7"/>
  <c r="M22" i="7"/>
  <c r="L22" i="7"/>
  <c r="K22" i="7"/>
  <c r="J22" i="7"/>
  <c r="I22" i="7"/>
  <c r="H22" i="7"/>
  <c r="G22" i="7"/>
  <c r="F23" i="7"/>
  <c r="F22" i="7"/>
  <c r="I18" i="7"/>
  <c r="I17" i="7"/>
  <c r="H21" i="8" l="1"/>
  <c r="G20" i="8"/>
  <c r="O22" i="1"/>
  <c r="O21" i="1"/>
  <c r="O17" i="1"/>
  <c r="V25" i="1"/>
  <c r="W25" i="1" s="1"/>
  <c r="X25" i="1" s="1"/>
  <c r="Y25" i="1" s="1"/>
  <c r="Z25" i="1" s="1"/>
  <c r="AA25" i="1" s="1"/>
  <c r="AB25" i="1" s="1"/>
  <c r="AC25" i="1" s="1"/>
  <c r="AD25" i="1" s="1"/>
  <c r="AE25" i="1" s="1"/>
  <c r="U37" i="1"/>
  <c r="T37" i="1"/>
  <c r="O37" i="1"/>
  <c r="N37" i="1"/>
  <c r="M37" i="1"/>
  <c r="L37" i="1"/>
  <c r="K37" i="1"/>
  <c r="J37" i="1"/>
  <c r="I37" i="1"/>
  <c r="H37" i="1"/>
  <c r="G37" i="1"/>
  <c r="F37" i="1"/>
  <c r="E37" i="1"/>
  <c r="I21" i="8" l="1"/>
  <c r="H20" i="8"/>
  <c r="T52" i="4"/>
  <c r="U52" i="4" s="1"/>
  <c r="J21" i="8" l="1"/>
  <c r="I20" i="8"/>
  <c r="R52" i="4"/>
  <c r="Q52" i="4" s="1"/>
  <c r="F18" i="5"/>
  <c r="G18" i="5"/>
  <c r="F19" i="5"/>
  <c r="G19" i="5"/>
  <c r="E19" i="5"/>
  <c r="E18" i="5"/>
  <c r="G12" i="5"/>
  <c r="G13" i="5"/>
  <c r="G14" i="5"/>
  <c r="F12" i="5"/>
  <c r="F13" i="5"/>
  <c r="F14" i="5"/>
  <c r="E14" i="5"/>
  <c r="E13" i="5"/>
  <c r="E12" i="5"/>
  <c r="K21" i="8" l="1"/>
  <c r="J20" i="8"/>
  <c r="F52" i="4"/>
  <c r="E52" i="4" s="1"/>
  <c r="H52" i="4"/>
  <c r="I52" i="4" s="1"/>
  <c r="K16" i="7"/>
  <c r="K15" i="7" s="1"/>
  <c r="J16" i="7"/>
  <c r="J15" i="7" s="1"/>
  <c r="H16" i="7"/>
  <c r="H15" i="7" s="1"/>
  <c r="G16" i="7"/>
  <c r="G15" i="7" s="1"/>
  <c r="L21" i="8" l="1"/>
  <c r="K20" i="8"/>
  <c r="F18" i="7"/>
  <c r="F17" i="7"/>
  <c r="H18" i="7"/>
  <c r="H17" i="7"/>
  <c r="L16" i="7"/>
  <c r="L15" i="7" s="1"/>
  <c r="K17" i="7"/>
  <c r="K18" i="7"/>
  <c r="G17" i="7"/>
  <c r="G18" i="7"/>
  <c r="J18" i="7"/>
  <c r="J17" i="7"/>
  <c r="M21" i="8" l="1"/>
  <c r="L20" i="8"/>
  <c r="M16" i="7"/>
  <c r="M15" i="7" s="1"/>
  <c r="L18" i="7"/>
  <c r="L17" i="7"/>
  <c r="S51" i="2"/>
  <c r="S61" i="2" s="1"/>
  <c r="E51" i="2"/>
  <c r="F51" i="2"/>
  <c r="H51" i="2"/>
  <c r="I51" i="2"/>
  <c r="J51" i="2"/>
  <c r="L51" i="2"/>
  <c r="M51" i="2"/>
  <c r="N51" i="2"/>
  <c r="D51" i="2"/>
  <c r="N21" i="8" l="1"/>
  <c r="M20" i="8"/>
  <c r="N16" i="7"/>
  <c r="N15" i="7" s="1"/>
  <c r="M17" i="7"/>
  <c r="M18" i="7"/>
  <c r="S57" i="2"/>
  <c r="O21" i="8" l="1"/>
  <c r="O20" i="8" s="1"/>
  <c r="N20" i="8"/>
  <c r="O16" i="7"/>
  <c r="O15" i="7" s="1"/>
  <c r="N18" i="7"/>
  <c r="N17" i="7"/>
  <c r="O17" i="7" l="1"/>
  <c r="O18" i="7"/>
  <c r="V40" i="4"/>
  <c r="V39" i="4"/>
  <c r="V38" i="4"/>
  <c r="V37" i="4"/>
  <c r="H28" i="7" l="1"/>
  <c r="H27" i="7"/>
  <c r="H13" i="8"/>
  <c r="H12" i="8"/>
  <c r="I27" i="7" l="1"/>
  <c r="I28" i="7"/>
  <c r="O67" i="4" s="1"/>
  <c r="I12" i="8"/>
  <c r="I13" i="8"/>
  <c r="L30" i="5"/>
  <c r="K34" i="5"/>
  <c r="O31" i="5"/>
  <c r="G20" i="5"/>
  <c r="F20" i="5"/>
  <c r="E20" i="5"/>
  <c r="G15" i="5"/>
  <c r="F15" i="5"/>
  <c r="E15" i="5"/>
  <c r="F9" i="5"/>
  <c r="F30" i="5" s="1"/>
  <c r="G9" i="5"/>
  <c r="G34" i="5" s="1"/>
  <c r="E9" i="5"/>
  <c r="E34" i="5" s="1"/>
  <c r="F8" i="5"/>
  <c r="G8" i="5"/>
  <c r="G35" i="5" s="1"/>
  <c r="E8" i="5"/>
  <c r="E31" i="5" s="1"/>
  <c r="I29" i="5"/>
  <c r="J29" i="5"/>
  <c r="Q29" i="5"/>
  <c r="I30" i="5"/>
  <c r="J30" i="5"/>
  <c r="K30" i="5"/>
  <c r="Q30" i="5"/>
  <c r="I31" i="5"/>
  <c r="J31" i="5"/>
  <c r="K31" i="5"/>
  <c r="L31" i="5"/>
  <c r="M31" i="5"/>
  <c r="N31" i="5"/>
  <c r="Q31" i="5"/>
  <c r="I34" i="5"/>
  <c r="J34" i="5"/>
  <c r="Q34" i="5"/>
  <c r="I35" i="5"/>
  <c r="J35" i="5"/>
  <c r="K35" i="5"/>
  <c r="L35" i="5"/>
  <c r="M35" i="5"/>
  <c r="N35" i="5"/>
  <c r="O35" i="5"/>
  <c r="P35" i="5"/>
  <c r="Q35" i="5"/>
  <c r="H35" i="5"/>
  <c r="H34" i="5"/>
  <c r="H31" i="5"/>
  <c r="H30" i="5"/>
  <c r="H29" i="5"/>
  <c r="U68" i="4"/>
  <c r="M64" i="4"/>
  <c r="N64" i="4"/>
  <c r="O64" i="4"/>
  <c r="P64" i="4"/>
  <c r="Q64" i="4"/>
  <c r="R64" i="4"/>
  <c r="S64" i="4"/>
  <c r="T64" i="4"/>
  <c r="M65" i="4"/>
  <c r="N65" i="4"/>
  <c r="O65" i="4"/>
  <c r="P65" i="4"/>
  <c r="Q65" i="4"/>
  <c r="R65" i="4"/>
  <c r="S65" i="4"/>
  <c r="T65" i="4"/>
  <c r="U65" i="4"/>
  <c r="M66" i="4"/>
  <c r="N66" i="4"/>
  <c r="O66" i="4"/>
  <c r="P66" i="4"/>
  <c r="Q66" i="4"/>
  <c r="R66" i="4"/>
  <c r="S66" i="4"/>
  <c r="T66" i="4"/>
  <c r="U66" i="4"/>
  <c r="M67" i="4"/>
  <c r="N67" i="4"/>
  <c r="U67" i="4"/>
  <c r="M68" i="4"/>
  <c r="N68" i="4"/>
  <c r="O68" i="4"/>
  <c r="P68" i="4"/>
  <c r="Q68" i="4"/>
  <c r="R68" i="4"/>
  <c r="S68" i="4"/>
  <c r="T68" i="4"/>
  <c r="L68" i="4"/>
  <c r="L67" i="4"/>
  <c r="L66" i="4"/>
  <c r="L65" i="4"/>
  <c r="L64" i="4"/>
  <c r="L8" i="4" s="1"/>
  <c r="G15" i="6"/>
  <c r="M8" i="6" s="1"/>
  <c r="L8" i="6" s="1"/>
  <c r="G9" i="6"/>
  <c r="G31" i="5" l="1"/>
  <c r="C7" i="10"/>
  <c r="K29" i="5"/>
  <c r="J28" i="7"/>
  <c r="P67" i="4" s="1"/>
  <c r="J27" i="7"/>
  <c r="J13" i="8"/>
  <c r="J12" i="8"/>
  <c r="L29" i="5" s="1"/>
  <c r="M30" i="5"/>
  <c r="L34" i="5"/>
  <c r="P31" i="5"/>
  <c r="F31" i="5"/>
  <c r="F35" i="5"/>
  <c r="O8" i="6"/>
  <c r="P8" i="6" s="1"/>
  <c r="F34" i="5"/>
  <c r="L23" i="4"/>
  <c r="E30" i="5"/>
  <c r="E29" i="5"/>
  <c r="G30" i="5"/>
  <c r="G22" i="5"/>
  <c r="E22" i="5"/>
  <c r="E23" i="5" s="1"/>
  <c r="F22" i="5"/>
  <c r="F23" i="5" s="1"/>
  <c r="G25" i="6"/>
  <c r="M8" i="4"/>
  <c r="L13" i="4"/>
  <c r="L9" i="4"/>
  <c r="L16" i="4"/>
  <c r="L10" i="4"/>
  <c r="H9" i="5" s="1"/>
  <c r="H18" i="5" s="1"/>
  <c r="H8" i="5"/>
  <c r="E35" i="5"/>
  <c r="F29" i="5"/>
  <c r="G29" i="5"/>
  <c r="M23" i="4" l="1"/>
  <c r="D7" i="10"/>
  <c r="Q40" i="4"/>
  <c r="K27" i="7"/>
  <c r="K28" i="7"/>
  <c r="Q67" i="4" s="1"/>
  <c r="K12" i="8"/>
  <c r="K13" i="8"/>
  <c r="N30" i="5"/>
  <c r="M34" i="5"/>
  <c r="K8" i="6"/>
  <c r="H13" i="5"/>
  <c r="G23" i="5"/>
  <c r="G25" i="5"/>
  <c r="H24" i="4" s="1"/>
  <c r="F25" i="5"/>
  <c r="G24" i="4" s="1"/>
  <c r="G70" i="4" s="1"/>
  <c r="H14" i="5"/>
  <c r="H19" i="5"/>
  <c r="H20" i="5" s="1"/>
  <c r="H12" i="5"/>
  <c r="M13" i="4"/>
  <c r="N8" i="4"/>
  <c r="M16" i="4"/>
  <c r="M10" i="4"/>
  <c r="I9" i="5" s="1"/>
  <c r="I8" i="5"/>
  <c r="L6" i="4"/>
  <c r="I6" i="5"/>
  <c r="J6" i="5" s="1"/>
  <c r="K6" i="5" s="1"/>
  <c r="L6" i="5" s="1"/>
  <c r="M6" i="5" s="1"/>
  <c r="N6" i="5" s="1"/>
  <c r="O6" i="5" s="1"/>
  <c r="P6" i="5" s="1"/>
  <c r="Q6" i="5" s="1"/>
  <c r="G6" i="5"/>
  <c r="F6" i="5" s="1"/>
  <c r="E6" i="5" s="1"/>
  <c r="H70" i="4"/>
  <c r="F70" i="4"/>
  <c r="G67" i="4"/>
  <c r="H67" i="4"/>
  <c r="F67" i="4"/>
  <c r="G66" i="4"/>
  <c r="H66" i="4"/>
  <c r="F66" i="4"/>
  <c r="H65" i="4"/>
  <c r="G65" i="4"/>
  <c r="F65" i="4"/>
  <c r="F64" i="4"/>
  <c r="V44" i="4"/>
  <c r="L11" i="4"/>
  <c r="H11" i="4"/>
  <c r="G11" i="4"/>
  <c r="F11" i="4"/>
  <c r="G14" i="4" l="1"/>
  <c r="H14" i="4"/>
  <c r="N23" i="4"/>
  <c r="E7" i="10"/>
  <c r="E11" i="10" s="1"/>
  <c r="E13" i="10" s="1"/>
  <c r="E17" i="10" s="1"/>
  <c r="E21" i="10" s="1"/>
  <c r="M29" i="5"/>
  <c r="L28" i="7"/>
  <c r="L27" i="7"/>
  <c r="R67" i="4"/>
  <c r="L13" i="8"/>
  <c r="L12" i="8"/>
  <c r="N29" i="5" s="1"/>
  <c r="O30" i="5"/>
  <c r="N34" i="5"/>
  <c r="D54" i="4"/>
  <c r="D53" i="4" s="1"/>
  <c r="D56" i="4"/>
  <c r="D57" i="4" s="1"/>
  <c r="L14" i="4"/>
  <c r="I18" i="5"/>
  <c r="I13" i="5"/>
  <c r="M11" i="4"/>
  <c r="I19" i="5"/>
  <c r="I14" i="5"/>
  <c r="I12" i="5"/>
  <c r="N13" i="4"/>
  <c r="O8" i="4"/>
  <c r="J8" i="5"/>
  <c r="N10" i="4"/>
  <c r="N16" i="4"/>
  <c r="N22" i="4" s="1"/>
  <c r="H15" i="5"/>
  <c r="F14" i="4"/>
  <c r="M22" i="4"/>
  <c r="L22" i="4"/>
  <c r="H22" i="4"/>
  <c r="G22" i="4"/>
  <c r="F22" i="4"/>
  <c r="H15" i="4"/>
  <c r="G15" i="4"/>
  <c r="F12" i="4"/>
  <c r="L12" i="4"/>
  <c r="H12" i="4"/>
  <c r="G12" i="4"/>
  <c r="N9" i="4"/>
  <c r="M9" i="4"/>
  <c r="H9" i="4"/>
  <c r="H64" i="4" s="1"/>
  <c r="G9" i="4"/>
  <c r="G64" i="4" s="1"/>
  <c r="H17" i="4" l="1"/>
  <c r="H69" i="4" s="1"/>
  <c r="G17" i="4"/>
  <c r="O23" i="4"/>
  <c r="L17" i="4"/>
  <c r="L20" i="4" s="1"/>
  <c r="H22" i="5"/>
  <c r="H25" i="5" s="1"/>
  <c r="L24" i="4" s="1"/>
  <c r="M27" i="7"/>
  <c r="M28" i="7"/>
  <c r="S67" i="4"/>
  <c r="M12" i="8"/>
  <c r="O29" i="5" s="1"/>
  <c r="M13" i="8"/>
  <c r="P30" i="5"/>
  <c r="O34" i="5"/>
  <c r="H20" i="4"/>
  <c r="H18" i="4"/>
  <c r="L15" i="4"/>
  <c r="M14" i="4"/>
  <c r="O9" i="4"/>
  <c r="M12" i="4"/>
  <c r="J9" i="5"/>
  <c r="N11" i="4"/>
  <c r="J19" i="5"/>
  <c r="J14" i="5"/>
  <c r="J12" i="5"/>
  <c r="P8" i="4"/>
  <c r="O13" i="4"/>
  <c r="O16" i="4"/>
  <c r="O22" i="4" s="1"/>
  <c r="O10" i="4"/>
  <c r="K9" i="5" s="1"/>
  <c r="K8" i="5"/>
  <c r="I15" i="5"/>
  <c r="I20" i="5"/>
  <c r="F17" i="4"/>
  <c r="F15" i="4"/>
  <c r="N40" i="2"/>
  <c r="N42" i="2" s="1"/>
  <c r="N28" i="2"/>
  <c r="N32" i="2" s="1"/>
  <c r="N15" i="2"/>
  <c r="N21" i="2" s="1"/>
  <c r="N10" i="1"/>
  <c r="L26" i="4" l="1"/>
  <c r="G69" i="4"/>
  <c r="G18" i="4"/>
  <c r="G20" i="4"/>
  <c r="P23" i="4"/>
  <c r="M17" i="4"/>
  <c r="M20" i="4" s="1"/>
  <c r="L18" i="4"/>
  <c r="H23" i="5"/>
  <c r="L70" i="4" s="1"/>
  <c r="N28" i="7"/>
  <c r="N27" i="7"/>
  <c r="T67" i="4"/>
  <c r="N13" i="8"/>
  <c r="N12" i="8"/>
  <c r="P29" i="5" s="1"/>
  <c r="P34" i="5"/>
  <c r="N40" i="1"/>
  <c r="N38" i="1"/>
  <c r="N34" i="1"/>
  <c r="N32" i="1"/>
  <c r="N30" i="1"/>
  <c r="N39" i="1"/>
  <c r="N33" i="1"/>
  <c r="N50" i="2"/>
  <c r="M15" i="4"/>
  <c r="M18" i="4"/>
  <c r="I22" i="5"/>
  <c r="K19" i="5"/>
  <c r="K14" i="5"/>
  <c r="K12" i="5"/>
  <c r="K18" i="5"/>
  <c r="K13" i="5"/>
  <c r="J13" i="5"/>
  <c r="J15" i="5" s="1"/>
  <c r="J18" i="5"/>
  <c r="J20" i="5" s="1"/>
  <c r="O11" i="4"/>
  <c r="Q8" i="4"/>
  <c r="Q23" i="4" s="1"/>
  <c r="P13" i="4"/>
  <c r="L8" i="5"/>
  <c r="P10" i="4"/>
  <c r="L9" i="5" s="1"/>
  <c r="P16" i="4"/>
  <c r="P22" i="4" s="1"/>
  <c r="P9" i="4"/>
  <c r="N14" i="4"/>
  <c r="N12" i="4"/>
  <c r="F20" i="4"/>
  <c r="F18" i="4"/>
  <c r="F69" i="4"/>
  <c r="N12" i="1"/>
  <c r="N31" i="1" s="1"/>
  <c r="N43" i="2"/>
  <c r="P11" i="4" l="1"/>
  <c r="I23" i="5"/>
  <c r="M70" i="4" s="1"/>
  <c r="I25" i="5"/>
  <c r="M24" i="4" s="1"/>
  <c r="M26" i="4" s="1"/>
  <c r="J22" i="5"/>
  <c r="N17" i="4"/>
  <c r="N19" i="4" s="1"/>
  <c r="N15" i="4"/>
  <c r="L13" i="5"/>
  <c r="L18" i="5"/>
  <c r="L12" i="5"/>
  <c r="L19" i="5"/>
  <c r="L14" i="5"/>
  <c r="R8" i="4"/>
  <c r="R23" i="4" s="1"/>
  <c r="Q13" i="4"/>
  <c r="Q10" i="4"/>
  <c r="M9" i="5" s="1"/>
  <c r="M8" i="5"/>
  <c r="Q16" i="4"/>
  <c r="Q22" i="4" s="1"/>
  <c r="Q9" i="4"/>
  <c r="O14" i="4"/>
  <c r="O12" i="4"/>
  <c r="K15" i="5"/>
  <c r="K20" i="5"/>
  <c r="N16" i="1"/>
  <c r="N18" i="1" s="1"/>
  <c r="O46" i="2"/>
  <c r="N46" i="2"/>
  <c r="U40" i="2"/>
  <c r="U42" i="2" s="1"/>
  <c r="T40" i="2"/>
  <c r="T42" i="2" s="1"/>
  <c r="S40" i="2"/>
  <c r="S42" i="2" s="1"/>
  <c r="M40" i="2"/>
  <c r="M42" i="2" s="1"/>
  <c r="L40" i="2"/>
  <c r="L42" i="2" s="1"/>
  <c r="K40" i="2"/>
  <c r="K42" i="2" s="1"/>
  <c r="J40" i="2"/>
  <c r="J42" i="2" s="1"/>
  <c r="I40" i="2"/>
  <c r="I42" i="2" s="1"/>
  <c r="H40" i="2"/>
  <c r="H42" i="2" s="1"/>
  <c r="G40" i="2"/>
  <c r="G42" i="2" s="1"/>
  <c r="F40" i="2"/>
  <c r="F42" i="2" s="1"/>
  <c r="E40" i="2"/>
  <c r="E42" i="2" s="1"/>
  <c r="D40" i="2"/>
  <c r="D42" i="2" s="1"/>
  <c r="L31" i="2"/>
  <c r="J31" i="2"/>
  <c r="D31" i="2"/>
  <c r="U28" i="2"/>
  <c r="U32" i="2" s="1"/>
  <c r="T28" i="2"/>
  <c r="T32" i="2" s="1"/>
  <c r="S28" i="2"/>
  <c r="S32" i="2" s="1"/>
  <c r="M28" i="2"/>
  <c r="M32" i="2" s="1"/>
  <c r="K28" i="2"/>
  <c r="K32" i="2" s="1"/>
  <c r="J28" i="2"/>
  <c r="I28" i="2"/>
  <c r="I32" i="2" s="1"/>
  <c r="H28" i="2"/>
  <c r="H32" i="2" s="1"/>
  <c r="G28" i="2"/>
  <c r="G32" i="2" s="1"/>
  <c r="F28" i="2"/>
  <c r="F32" i="2" s="1"/>
  <c r="E28" i="2"/>
  <c r="E32" i="2" s="1"/>
  <c r="D28" i="2"/>
  <c r="D32" i="2" s="1"/>
  <c r="L27" i="2"/>
  <c r="U15" i="2"/>
  <c r="U21" i="2" s="1"/>
  <c r="T15" i="2"/>
  <c r="T21" i="2" s="1"/>
  <c r="S15" i="2"/>
  <c r="S21" i="2" s="1"/>
  <c r="M15" i="2"/>
  <c r="M21" i="2" s="1"/>
  <c r="L15" i="2"/>
  <c r="L21" i="2" s="1"/>
  <c r="K15" i="2"/>
  <c r="K21" i="2" s="1"/>
  <c r="J15" i="2"/>
  <c r="J21" i="2" s="1"/>
  <c r="I15" i="2"/>
  <c r="I21" i="2" s="1"/>
  <c r="H15" i="2"/>
  <c r="H21" i="2" s="1"/>
  <c r="G15" i="2"/>
  <c r="G21" i="2" s="1"/>
  <c r="F15" i="2"/>
  <c r="F21" i="2" s="1"/>
  <c r="E15" i="2"/>
  <c r="E21" i="2" s="1"/>
  <c r="D15" i="2"/>
  <c r="D21" i="2" s="1"/>
  <c r="N20" i="1" l="1"/>
  <c r="N23" i="1" s="1"/>
  <c r="N26" i="1" s="1"/>
  <c r="N36" i="1"/>
  <c r="J32" i="2"/>
  <c r="L28" i="2"/>
  <c r="L32" i="2" s="1"/>
  <c r="L43" i="2" s="1"/>
  <c r="L46" i="2" s="1"/>
  <c r="P12" i="4"/>
  <c r="P14" i="4"/>
  <c r="J23" i="5"/>
  <c r="N70" i="4" s="1"/>
  <c r="J25" i="5"/>
  <c r="N24" i="4" s="1"/>
  <c r="Q11" i="4"/>
  <c r="L20" i="5"/>
  <c r="M19" i="5"/>
  <c r="M14" i="5"/>
  <c r="M12" i="5"/>
  <c r="L15" i="5"/>
  <c r="K22" i="5"/>
  <c r="K25" i="5" s="1"/>
  <c r="O24" i="4" s="1"/>
  <c r="O17" i="4"/>
  <c r="O19" i="4" s="1"/>
  <c r="O15" i="4"/>
  <c r="M18" i="5"/>
  <c r="M13" i="5"/>
  <c r="S8" i="4"/>
  <c r="R13" i="4"/>
  <c r="N8" i="5"/>
  <c r="R10" i="4"/>
  <c r="N9" i="5" s="1"/>
  <c r="R16" i="4"/>
  <c r="R22" i="4" s="1"/>
  <c r="R9" i="4"/>
  <c r="N20" i="4"/>
  <c r="N18" i="4"/>
  <c r="S43" i="2"/>
  <c r="K43" i="2"/>
  <c r="K46" i="2" s="1"/>
  <c r="G43" i="2"/>
  <c r="G46" i="2" s="1"/>
  <c r="T43" i="2"/>
  <c r="E43" i="2"/>
  <c r="E46" i="2" s="1"/>
  <c r="U43" i="2"/>
  <c r="D43" i="2"/>
  <c r="D46" i="2" s="1"/>
  <c r="M43" i="2"/>
  <c r="M46" i="2" s="1"/>
  <c r="H43" i="2"/>
  <c r="H46" i="2" s="1"/>
  <c r="I43" i="2"/>
  <c r="I46" i="2" s="1"/>
  <c r="F43" i="2"/>
  <c r="F46" i="2" s="1"/>
  <c r="J43" i="2"/>
  <c r="J46" i="2" s="1"/>
  <c r="Q1" i="1"/>
  <c r="S46" i="2" l="1"/>
  <c r="S45" i="2"/>
  <c r="T46" i="2"/>
  <c r="T45" i="2"/>
  <c r="U46" i="2"/>
  <c r="U45" i="2"/>
  <c r="P17" i="4"/>
  <c r="P19" i="4" s="1"/>
  <c r="S23" i="4"/>
  <c r="T8" i="4"/>
  <c r="T23" i="4" s="1"/>
  <c r="P15" i="4"/>
  <c r="Q14" i="4"/>
  <c r="Q17" i="4" s="1"/>
  <c r="Q19" i="4" s="1"/>
  <c r="L22" i="5"/>
  <c r="L25" i="5" s="1"/>
  <c r="P24" i="4" s="1"/>
  <c r="N26" i="4"/>
  <c r="Q12" i="4"/>
  <c r="R11" i="4"/>
  <c r="N12" i="5"/>
  <c r="N19" i="5"/>
  <c r="N14" i="5"/>
  <c r="K23" i="5"/>
  <c r="O70" i="4" s="1"/>
  <c r="M15" i="5"/>
  <c r="P20" i="4"/>
  <c r="P18" i="4"/>
  <c r="N18" i="5"/>
  <c r="N13" i="5"/>
  <c r="S13" i="4"/>
  <c r="S16" i="4"/>
  <c r="S22" i="4" s="1"/>
  <c r="S10" i="4"/>
  <c r="O9" i="5" s="1"/>
  <c r="S9" i="4"/>
  <c r="O8" i="5"/>
  <c r="O20" i="4"/>
  <c r="O18" i="4"/>
  <c r="M20" i="5"/>
  <c r="S10" i="1"/>
  <c r="T17" i="1"/>
  <c r="U17" i="1"/>
  <c r="K22" i="1"/>
  <c r="U22" i="1" s="1"/>
  <c r="K21" i="1"/>
  <c r="U21" i="1" s="1"/>
  <c r="K19" i="1"/>
  <c r="K15" i="1"/>
  <c r="K14" i="1"/>
  <c r="K13" i="1"/>
  <c r="K11" i="1"/>
  <c r="K9" i="1"/>
  <c r="K8" i="1"/>
  <c r="K7" i="1"/>
  <c r="G22" i="1"/>
  <c r="T22" i="1" s="1"/>
  <c r="G21" i="1"/>
  <c r="T21" i="1" s="1"/>
  <c r="G19" i="1"/>
  <c r="G15" i="1"/>
  <c r="G14" i="1"/>
  <c r="G13" i="1"/>
  <c r="G11" i="1"/>
  <c r="G9" i="1"/>
  <c r="G8" i="1"/>
  <c r="G7" i="1"/>
  <c r="D10" i="1"/>
  <c r="E10" i="1"/>
  <c r="F10" i="1"/>
  <c r="J10" i="1"/>
  <c r="H10" i="1"/>
  <c r="L10" i="1"/>
  <c r="I10" i="1"/>
  <c r="M10" i="1"/>
  <c r="M50" i="2" l="1"/>
  <c r="M40" i="1"/>
  <c r="M39" i="1"/>
  <c r="M38" i="1"/>
  <c r="M34" i="1"/>
  <c r="M33" i="1"/>
  <c r="M32" i="1"/>
  <c r="M30" i="1"/>
  <c r="M29" i="1"/>
  <c r="N29" i="1"/>
  <c r="L39" i="1"/>
  <c r="L33" i="1"/>
  <c r="L40" i="1"/>
  <c r="L38" i="1"/>
  <c r="L34" i="1"/>
  <c r="L32" i="1"/>
  <c r="L30" i="1"/>
  <c r="J50" i="2"/>
  <c r="J40" i="1"/>
  <c r="J38" i="1"/>
  <c r="J34" i="1"/>
  <c r="J32" i="1"/>
  <c r="J30" i="1"/>
  <c r="J39" i="1"/>
  <c r="J33" i="1"/>
  <c r="J29" i="1"/>
  <c r="E50" i="2"/>
  <c r="E40" i="1"/>
  <c r="E39" i="1"/>
  <c r="E38" i="1"/>
  <c r="E34" i="1"/>
  <c r="E33" i="1"/>
  <c r="E32" i="1"/>
  <c r="E30" i="1"/>
  <c r="E29" i="1"/>
  <c r="T7" i="1"/>
  <c r="T9" i="1"/>
  <c r="T15" i="1"/>
  <c r="U9" i="1"/>
  <c r="U15" i="1"/>
  <c r="S50" i="2"/>
  <c r="S56" i="2" s="1"/>
  <c r="S39" i="1"/>
  <c r="S33" i="1"/>
  <c r="S40" i="1"/>
  <c r="S34" i="1"/>
  <c r="S30" i="1"/>
  <c r="S38" i="1"/>
  <c r="S32" i="1"/>
  <c r="I50" i="2"/>
  <c r="I40" i="1"/>
  <c r="I39" i="1"/>
  <c r="I38" i="1"/>
  <c r="I34" i="1"/>
  <c r="I33" i="1"/>
  <c r="I32" i="1"/>
  <c r="I30" i="1"/>
  <c r="I29" i="1"/>
  <c r="H50" i="2"/>
  <c r="H39" i="1"/>
  <c r="H33" i="1"/>
  <c r="H40" i="1"/>
  <c r="H38" i="1"/>
  <c r="H34" i="1"/>
  <c r="H32" i="1"/>
  <c r="H30" i="1"/>
  <c r="F50" i="2"/>
  <c r="F40" i="1"/>
  <c r="F38" i="1"/>
  <c r="F34" i="1"/>
  <c r="F32" i="1"/>
  <c r="F30" i="1"/>
  <c r="F39" i="1"/>
  <c r="F33" i="1"/>
  <c r="F29" i="1"/>
  <c r="D50" i="2"/>
  <c r="D39" i="1"/>
  <c r="D33" i="1"/>
  <c r="D40" i="1"/>
  <c r="D34" i="1"/>
  <c r="D30" i="1"/>
  <c r="D38" i="1"/>
  <c r="D32" i="1"/>
  <c r="T8" i="1"/>
  <c r="G51" i="2"/>
  <c r="T14" i="1"/>
  <c r="T19" i="1"/>
  <c r="U8" i="1"/>
  <c r="K51" i="2"/>
  <c r="U14" i="1"/>
  <c r="U19" i="1"/>
  <c r="L50" i="2"/>
  <c r="Q15" i="4"/>
  <c r="R12" i="4"/>
  <c r="L23" i="5"/>
  <c r="P70" i="4" s="1"/>
  <c r="S11" i="4"/>
  <c r="S12" i="4" s="1"/>
  <c r="N20" i="5"/>
  <c r="R14" i="4"/>
  <c r="R15" i="4" s="1"/>
  <c r="O26" i="4"/>
  <c r="O14" i="5"/>
  <c r="O12" i="5"/>
  <c r="O19" i="5"/>
  <c r="U8" i="4"/>
  <c r="T13" i="4"/>
  <c r="T9" i="4"/>
  <c r="P8" i="5"/>
  <c r="T10" i="4"/>
  <c r="P9" i="5" s="1"/>
  <c r="T16" i="4"/>
  <c r="T22" i="4" s="1"/>
  <c r="N15" i="5"/>
  <c r="P26" i="4"/>
  <c r="Q20" i="4"/>
  <c r="Q18" i="4"/>
  <c r="O13" i="5"/>
  <c r="O18" i="5"/>
  <c r="M22" i="5"/>
  <c r="M25" i="5" s="1"/>
  <c r="Q24" i="4" s="1"/>
  <c r="T11" i="1"/>
  <c r="D12" i="1"/>
  <c r="D31" i="1" s="1"/>
  <c r="U11" i="1"/>
  <c r="T13" i="1"/>
  <c r="U13" i="1"/>
  <c r="S12" i="1"/>
  <c r="I12" i="1"/>
  <c r="I31" i="1" s="1"/>
  <c r="H12" i="1"/>
  <c r="H31" i="1" s="1"/>
  <c r="F12" i="1"/>
  <c r="F31" i="1" s="1"/>
  <c r="M12" i="1"/>
  <c r="M31" i="1" s="1"/>
  <c r="L12" i="1"/>
  <c r="J12" i="1"/>
  <c r="J31" i="1" s="1"/>
  <c r="E12" i="1"/>
  <c r="E31" i="1" s="1"/>
  <c r="G10" i="1"/>
  <c r="G29" i="1" s="1"/>
  <c r="K10" i="1"/>
  <c r="K29" i="1" s="1"/>
  <c r="U7" i="1"/>
  <c r="S58" i="2" l="1"/>
  <c r="S63" i="2"/>
  <c r="K34" i="1"/>
  <c r="K32" i="1"/>
  <c r="L29" i="1"/>
  <c r="S62" i="2"/>
  <c r="S31" i="1"/>
  <c r="G34" i="1"/>
  <c r="G32" i="1"/>
  <c r="L31" i="1"/>
  <c r="U51" i="2"/>
  <c r="U61" i="2" s="1"/>
  <c r="T51" i="2"/>
  <c r="T57" i="2" s="1"/>
  <c r="K33" i="1"/>
  <c r="K30" i="1"/>
  <c r="K39" i="1"/>
  <c r="G33" i="1"/>
  <c r="G30" i="1"/>
  <c r="G39" i="1"/>
  <c r="H29" i="1"/>
  <c r="K40" i="1"/>
  <c r="K38" i="1"/>
  <c r="G40" i="1"/>
  <c r="G38" i="1"/>
  <c r="K50" i="2"/>
  <c r="G50" i="2"/>
  <c r="R17" i="4"/>
  <c r="R19" i="4" s="1"/>
  <c r="S14" i="4"/>
  <c r="S15" i="4" s="1"/>
  <c r="T11" i="4"/>
  <c r="N22" i="5"/>
  <c r="N25" i="5" s="1"/>
  <c r="R24" i="4" s="1"/>
  <c r="U23" i="4"/>
  <c r="O20" i="5"/>
  <c r="O15" i="5"/>
  <c r="P18" i="5"/>
  <c r="P13" i="5"/>
  <c r="M23" i="5"/>
  <c r="Q70" i="4" s="1"/>
  <c r="P14" i="5"/>
  <c r="P12" i="5"/>
  <c r="P19" i="5"/>
  <c r="U13" i="4"/>
  <c r="U16" i="4"/>
  <c r="U22" i="4" s="1"/>
  <c r="U9" i="4"/>
  <c r="U10" i="4"/>
  <c r="Q9" i="5" s="1"/>
  <c r="Q8" i="5"/>
  <c r="M16" i="1"/>
  <c r="M18" i="1" s="1"/>
  <c r="S16" i="1"/>
  <c r="S18" i="1" s="1"/>
  <c r="D16" i="1"/>
  <c r="D18" i="1" s="1"/>
  <c r="H16" i="1"/>
  <c r="H18" i="1" s="1"/>
  <c r="J16" i="1"/>
  <c r="J18" i="1" s="1"/>
  <c r="I16" i="1"/>
  <c r="I18" i="1" s="1"/>
  <c r="E16" i="1"/>
  <c r="E18" i="1" s="1"/>
  <c r="L16" i="1"/>
  <c r="F16" i="1"/>
  <c r="F18" i="1" s="1"/>
  <c r="G12" i="1"/>
  <c r="K12" i="1"/>
  <c r="T10" i="1"/>
  <c r="T29" i="1" s="1"/>
  <c r="U10" i="1"/>
  <c r="U57" i="2" l="1"/>
  <c r="T39" i="1"/>
  <c r="U29" i="1"/>
  <c r="V10" i="1"/>
  <c r="T61" i="2"/>
  <c r="T34" i="1"/>
  <c r="T30" i="1"/>
  <c r="T40" i="1"/>
  <c r="T32" i="1"/>
  <c r="U12" i="1"/>
  <c r="U31" i="1" s="1"/>
  <c r="K31" i="1"/>
  <c r="F20" i="1"/>
  <c r="F23" i="1" s="1"/>
  <c r="F26" i="1" s="1"/>
  <c r="F36" i="1"/>
  <c r="E20" i="1"/>
  <c r="E23" i="1" s="1"/>
  <c r="E26" i="1" s="1"/>
  <c r="E36" i="1"/>
  <c r="J20" i="1"/>
  <c r="J23" i="1" s="1"/>
  <c r="J26" i="1" s="1"/>
  <c r="J36" i="1"/>
  <c r="D20" i="1"/>
  <c r="D23" i="1" s="1"/>
  <c r="D26" i="1" s="1"/>
  <c r="D36" i="1"/>
  <c r="M20" i="1"/>
  <c r="M23" i="1" s="1"/>
  <c r="M26" i="1" s="1"/>
  <c r="M36" i="1"/>
  <c r="U30" i="1"/>
  <c r="U32" i="1"/>
  <c r="U33" i="1"/>
  <c r="G16" i="1"/>
  <c r="G18" i="1" s="1"/>
  <c r="G36" i="1" s="1"/>
  <c r="G31" i="1"/>
  <c r="I20" i="1"/>
  <c r="I23" i="1" s="1"/>
  <c r="I26" i="1" s="1"/>
  <c r="I36" i="1"/>
  <c r="H20" i="1"/>
  <c r="H23" i="1" s="1"/>
  <c r="H26" i="1" s="1"/>
  <c r="H36" i="1"/>
  <c r="S20" i="1"/>
  <c r="S23" i="1" s="1"/>
  <c r="S36" i="1"/>
  <c r="U34" i="1"/>
  <c r="T38" i="1"/>
  <c r="U40" i="1"/>
  <c r="T33" i="1"/>
  <c r="U39" i="1"/>
  <c r="U38" i="1"/>
  <c r="T50" i="2"/>
  <c r="U50" i="2"/>
  <c r="L18" i="1"/>
  <c r="S17" i="4"/>
  <c r="S19" i="4" s="1"/>
  <c r="S20" i="4" s="1"/>
  <c r="R20" i="4"/>
  <c r="R26" i="4" s="1"/>
  <c r="R18" i="4"/>
  <c r="T14" i="4"/>
  <c r="T17" i="4" s="1"/>
  <c r="T19" i="4" s="1"/>
  <c r="U11" i="4"/>
  <c r="T12" i="4"/>
  <c r="N23" i="5"/>
  <c r="R70" i="4" s="1"/>
  <c r="O22" i="5"/>
  <c r="O25" i="5" s="1"/>
  <c r="S24" i="4" s="1"/>
  <c r="Q26" i="4"/>
  <c r="Q13" i="5"/>
  <c r="Q18" i="5"/>
  <c r="P20" i="5"/>
  <c r="Q19" i="5"/>
  <c r="Q12" i="5"/>
  <c r="Q14" i="5"/>
  <c r="P15" i="5"/>
  <c r="T12" i="1"/>
  <c r="T31" i="1" s="1"/>
  <c r="K16" i="1"/>
  <c r="K18" i="1" s="1"/>
  <c r="T16" i="1" l="1"/>
  <c r="O10" i="1"/>
  <c r="O29" i="1" s="1"/>
  <c r="V13" i="1"/>
  <c r="O13" i="1" s="1"/>
  <c r="V14" i="1"/>
  <c r="O14" i="1" s="1"/>
  <c r="V8" i="1"/>
  <c r="O8" i="1" s="1"/>
  <c r="W10" i="1"/>
  <c r="V15" i="1"/>
  <c r="O15" i="1" s="1"/>
  <c r="V11" i="1"/>
  <c r="O11" i="1" s="1"/>
  <c r="V9" i="1"/>
  <c r="O9" i="1" s="1"/>
  <c r="V7" i="1"/>
  <c r="O7" i="1" s="1"/>
  <c r="O38" i="1" s="1"/>
  <c r="K20" i="1"/>
  <c r="K23" i="1" s="1"/>
  <c r="K36" i="1"/>
  <c r="L36" i="1"/>
  <c r="T62" i="2"/>
  <c r="T63" i="2"/>
  <c r="T58" i="2"/>
  <c r="T56" i="2"/>
  <c r="L20" i="1"/>
  <c r="U63" i="2"/>
  <c r="U56" i="2"/>
  <c r="U58" i="2"/>
  <c r="U62" i="2"/>
  <c r="T15" i="4"/>
  <c r="S18" i="4"/>
  <c r="U14" i="4"/>
  <c r="U15" i="4" s="1"/>
  <c r="U12" i="4"/>
  <c r="O23" i="5"/>
  <c r="S70" i="4" s="1"/>
  <c r="U18" i="1"/>
  <c r="U36" i="1" s="1"/>
  <c r="Q15" i="5"/>
  <c r="P22" i="5"/>
  <c r="P25" i="5" s="1"/>
  <c r="T24" i="4" s="1"/>
  <c r="T18" i="4"/>
  <c r="T20" i="4"/>
  <c r="S26" i="4"/>
  <c r="Q20" i="5"/>
  <c r="U16" i="1"/>
  <c r="G20" i="1"/>
  <c r="T18" i="1"/>
  <c r="T36" i="1" s="1"/>
  <c r="U20" i="1" l="1"/>
  <c r="O30" i="1"/>
  <c r="O33" i="1"/>
  <c r="V12" i="1"/>
  <c r="O12" i="1" s="1"/>
  <c r="O31" i="1" s="1"/>
  <c r="O34" i="1"/>
  <c r="O32" i="1"/>
  <c r="O40" i="1"/>
  <c r="O39" i="1"/>
  <c r="W14" i="1"/>
  <c r="W15" i="1"/>
  <c r="W11" i="1"/>
  <c r="W12" i="1" s="1"/>
  <c r="W9" i="1"/>
  <c r="W7" i="1"/>
  <c r="X10" i="1"/>
  <c r="W13" i="1"/>
  <c r="W8" i="1"/>
  <c r="L23" i="1"/>
  <c r="U17" i="4"/>
  <c r="U19" i="4" s="1"/>
  <c r="E39" i="4"/>
  <c r="E41" i="4" s="1"/>
  <c r="P23" i="5"/>
  <c r="T70" i="4" s="1"/>
  <c r="Q22" i="5"/>
  <c r="Q25" i="5" s="1"/>
  <c r="U24" i="4" s="1"/>
  <c r="G23" i="1"/>
  <c r="T20" i="1"/>
  <c r="K26" i="1"/>
  <c r="U23" i="1"/>
  <c r="U26" i="1" s="1"/>
  <c r="V16" i="1" l="1"/>
  <c r="O16" i="1" s="1"/>
  <c r="W16" i="1"/>
  <c r="W18" i="1" s="1"/>
  <c r="W19" i="1" s="1"/>
  <c r="W20" i="1" s="1"/>
  <c r="W23" i="1" s="1"/>
  <c r="W26" i="1" s="1"/>
  <c r="Y10" i="1"/>
  <c r="X9" i="1"/>
  <c r="X7" i="1"/>
  <c r="X8" i="1"/>
  <c r="X11" i="1"/>
  <c r="X12" i="1" s="1"/>
  <c r="X14" i="1"/>
  <c r="X13" i="1"/>
  <c r="X15" i="1"/>
  <c r="L26" i="1"/>
  <c r="U20" i="4"/>
  <c r="U18" i="4"/>
  <c r="T26" i="4"/>
  <c r="Q23" i="5"/>
  <c r="U70" i="4" s="1"/>
  <c r="G26" i="1"/>
  <c r="T23" i="1"/>
  <c r="V18" i="1" l="1"/>
  <c r="O18" i="1" s="1"/>
  <c r="X16" i="1"/>
  <c r="X18" i="1" s="1"/>
  <c r="X19" i="1" s="1"/>
  <c r="X20" i="1" s="1"/>
  <c r="X23" i="1" s="1"/>
  <c r="X26" i="1" s="1"/>
  <c r="Y15" i="1"/>
  <c r="Y13" i="1"/>
  <c r="Y9" i="1"/>
  <c r="Y7" i="1"/>
  <c r="Y14" i="1"/>
  <c r="Y11" i="1"/>
  <c r="Y12" i="1" s="1"/>
  <c r="Y8" i="1"/>
  <c r="Z10" i="1"/>
  <c r="U26" i="4"/>
  <c r="Q39" i="4" s="1"/>
  <c r="G6" i="4"/>
  <c r="F6" i="4" s="1"/>
  <c r="M6" i="4"/>
  <c r="V19" i="1" l="1"/>
  <c r="O19" i="1" s="1"/>
  <c r="V20" i="1"/>
  <c r="O20" i="1" s="1"/>
  <c r="Y16" i="1"/>
  <c r="Y18" i="1" s="1"/>
  <c r="Y19" i="1" s="1"/>
  <c r="Y20" i="1" s="1"/>
  <c r="Y23" i="1" s="1"/>
  <c r="Y26" i="1" s="1"/>
  <c r="O36" i="1"/>
  <c r="AA10" i="1"/>
  <c r="Z14" i="1"/>
  <c r="Z11" i="1"/>
  <c r="Z12" i="1" s="1"/>
  <c r="Z8" i="1"/>
  <c r="Z15" i="1"/>
  <c r="Z13" i="1"/>
  <c r="Z9" i="1"/>
  <c r="Z7" i="1"/>
  <c r="N6" i="4"/>
  <c r="M29" i="4"/>
  <c r="M30" i="4" s="1"/>
  <c r="I8" i="4"/>
  <c r="I11" i="4"/>
  <c r="I14" i="4"/>
  <c r="I17" i="4"/>
  <c r="I20" i="4"/>
  <c r="Q42" i="4"/>
  <c r="V23" i="1" l="1"/>
  <c r="O23" i="1"/>
  <c r="V26" i="1"/>
  <c r="O26" i="1" s="1"/>
  <c r="Z16" i="1"/>
  <c r="Z18" i="1" s="1"/>
  <c r="Z19" i="1" s="1"/>
  <c r="Z20" i="1" s="1"/>
  <c r="Z23" i="1" s="1"/>
  <c r="Z26" i="1" s="1"/>
  <c r="AA14" i="1"/>
  <c r="AA9" i="1"/>
  <c r="AA7" i="1"/>
  <c r="AA15" i="1"/>
  <c r="AA13" i="1"/>
  <c r="AA11" i="1"/>
  <c r="AA12" i="1" s="1"/>
  <c r="AA8" i="1"/>
  <c r="AB10" i="1"/>
  <c r="O6" i="4"/>
  <c r="N29" i="4"/>
  <c r="N30" i="4" s="1"/>
  <c r="AA16" i="1" l="1"/>
  <c r="AA18" i="1" s="1"/>
  <c r="AA19" i="1" s="1"/>
  <c r="AA20" i="1" s="1"/>
  <c r="AA23" i="1" s="1"/>
  <c r="AA26" i="1" s="1"/>
  <c r="AB15" i="1"/>
  <c r="AB13" i="1"/>
  <c r="AB9" i="1"/>
  <c r="AB7" i="1"/>
  <c r="AC10" i="1"/>
  <c r="AB14" i="1"/>
  <c r="AB11" i="1"/>
  <c r="AB12" i="1" s="1"/>
  <c r="AB8" i="1"/>
  <c r="P6" i="4"/>
  <c r="O29" i="4"/>
  <c r="O30" i="4" s="1"/>
  <c r="AB16" i="1" l="1"/>
  <c r="AB18" i="1" s="1"/>
  <c r="AB19" i="1" s="1"/>
  <c r="AB20" i="1" s="1"/>
  <c r="AB23" i="1" s="1"/>
  <c r="AB26" i="1" s="1"/>
  <c r="AC15" i="1"/>
  <c r="AC13" i="1"/>
  <c r="AC11" i="1"/>
  <c r="AC12" i="1" s="1"/>
  <c r="AC8" i="1"/>
  <c r="AD10" i="1"/>
  <c r="AC14" i="1"/>
  <c r="AC9" i="1"/>
  <c r="AC7" i="1"/>
  <c r="Q6" i="4"/>
  <c r="P29" i="4"/>
  <c r="P30" i="4" s="1"/>
  <c r="AC16" i="1" l="1"/>
  <c r="AC18" i="1" s="1"/>
  <c r="AC19" i="1" s="1"/>
  <c r="AC20" i="1" s="1"/>
  <c r="AC23" i="1" s="1"/>
  <c r="AC26" i="1" s="1"/>
  <c r="AE10" i="1"/>
  <c r="AD14" i="1"/>
  <c r="AD11" i="1"/>
  <c r="AD12" i="1" s="1"/>
  <c r="AD8" i="1"/>
  <c r="AD15" i="1"/>
  <c r="AD13" i="1"/>
  <c r="AD9" i="1"/>
  <c r="AD7" i="1"/>
  <c r="R6" i="4"/>
  <c r="Q29" i="4"/>
  <c r="Q30" i="4" s="1"/>
  <c r="AD16" i="1" l="1"/>
  <c r="AD18" i="1" s="1"/>
  <c r="AD19" i="1" s="1"/>
  <c r="AD20" i="1" s="1"/>
  <c r="AD23" i="1" s="1"/>
  <c r="AD26" i="1" s="1"/>
  <c r="AE15" i="1"/>
  <c r="AE13" i="1"/>
  <c r="AE11" i="1"/>
  <c r="AE12" i="1" s="1"/>
  <c r="AE8" i="1"/>
  <c r="AE14" i="1"/>
  <c r="AE9" i="1"/>
  <c r="AE7" i="1"/>
  <c r="S6" i="4"/>
  <c r="R29" i="4"/>
  <c r="R30" i="4" s="1"/>
  <c r="AE16" i="1" l="1"/>
  <c r="AE18" i="1" s="1"/>
  <c r="AE19" i="1" s="1"/>
  <c r="AE20" i="1" s="1"/>
  <c r="AE23" i="1" s="1"/>
  <c r="AE26" i="1" s="1"/>
  <c r="T6" i="4"/>
  <c r="S29" i="4"/>
  <c r="S30" i="4" s="1"/>
  <c r="U6" i="4" l="1"/>
  <c r="Q43" i="4" s="1"/>
  <c r="T29" i="4"/>
  <c r="T30" i="4" s="1"/>
  <c r="Q44" i="4" l="1"/>
  <c r="E42" i="4"/>
  <c r="U29" i="4"/>
  <c r="U30" i="4" s="1"/>
  <c r="E36" i="4" s="1"/>
  <c r="V8" i="4"/>
  <c r="V11" i="4"/>
  <c r="V14" i="4"/>
  <c r="V17" i="4"/>
  <c r="V20" i="4"/>
  <c r="Q36" i="4" l="1"/>
  <c r="Q47" i="4" s="1"/>
  <c r="E43" i="4"/>
  <c r="E46" i="4" l="1"/>
  <c r="L36" i="4" s="1"/>
  <c r="L42" i="4" s="1"/>
  <c r="L46" i="4" s="1"/>
  <c r="P54" i="4"/>
  <c r="P53" i="4" s="1"/>
  <c r="P56" i="4"/>
  <c r="P57" i="4" s="1"/>
  <c r="V36" i="4"/>
  <c r="V42" i="4" s="1"/>
  <c r="V46" i="4" s="1"/>
  <c r="Q45" i="4"/>
  <c r="V1" i="4" l="1"/>
  <c r="E44" i="4"/>
  <c r="D52" i="4"/>
  <c r="P52" i="4"/>
  <c r="K10" i="6" l="1"/>
  <c r="K9" i="6" s="1"/>
  <c r="K12" i="6"/>
  <c r="K13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Caleb Gattis</author>
  </authors>
  <commentList>
    <comment ref="D26" authorId="0" shapeId="0" xr:uid="{CB28A9EA-9002-44D2-83C8-90E4CB0C071A}">
      <text>
        <r>
          <rPr>
            <b/>
            <sz val="9"/>
            <color indexed="81"/>
            <rFont val="Tahoma"/>
            <family val="2"/>
          </rPr>
          <t>Caleb Gattis:</t>
        </r>
        <r>
          <rPr>
            <sz val="9"/>
            <color indexed="81"/>
            <rFont val="Tahoma"/>
            <family val="2"/>
          </rPr>
          <t xml:space="preserve">
Not as reported?</t>
        </r>
      </text>
    </comment>
    <comment ref="E26" authorId="0" shapeId="0" xr:uid="{548719D8-2F4D-490A-B535-1D1862EA95EE}">
      <text>
        <r>
          <rPr>
            <b/>
            <sz val="9"/>
            <color indexed="81"/>
            <rFont val="Tahoma"/>
            <family val="2"/>
          </rPr>
          <t>Caleb Gattis:</t>
        </r>
        <r>
          <rPr>
            <sz val="9"/>
            <color indexed="81"/>
            <rFont val="Tahoma"/>
            <family val="2"/>
          </rPr>
          <t xml:space="preserve">
Not as reported?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Caleb Gattis</author>
  </authors>
  <commentList>
    <comment ref="D31" authorId="0" shapeId="0" xr:uid="{60AAEDD7-E96D-44C8-BDE3-12137AEC1DA4}">
      <text>
        <r>
          <rPr>
            <b/>
            <sz val="9"/>
            <color indexed="81"/>
            <rFont val="Tahoma"/>
            <family val="2"/>
          </rPr>
          <t>Caleb Gattis:</t>
        </r>
        <r>
          <rPr>
            <sz val="9"/>
            <color indexed="81"/>
            <rFont val="Tahoma"/>
            <family val="2"/>
          </rPr>
          <t xml:space="preserve">
Verde Credit Facility = 20,000
</t>
        </r>
      </text>
    </comment>
    <comment ref="J31" authorId="0" shapeId="0" xr:uid="{84B11BC1-326F-4E1B-A63A-8C3759DC7797}">
      <text>
        <r>
          <rPr>
            <b/>
            <sz val="9"/>
            <color indexed="81"/>
            <rFont val="Tahoma"/>
            <family val="2"/>
          </rPr>
          <t>Caleb Gattis:</t>
        </r>
        <r>
          <rPr>
            <sz val="9"/>
            <color indexed="81"/>
            <rFont val="Tahoma"/>
            <family val="2"/>
          </rPr>
          <t xml:space="preserve">
Senior Debt = 342,841
</t>
        </r>
      </text>
    </comment>
  </commentList>
</comments>
</file>

<file path=xl/sharedStrings.xml><?xml version="1.0" encoding="utf-8"?>
<sst xmlns="http://schemas.openxmlformats.org/spreadsheetml/2006/main" count="658" uniqueCount="330">
  <si>
    <t>Financial Statement Model</t>
  </si>
  <si>
    <t>Fiscal year ending December 31st</t>
  </si>
  <si>
    <t>Q117</t>
  </si>
  <si>
    <t>Q217</t>
  </si>
  <si>
    <t>Q317</t>
  </si>
  <si>
    <t>Q417</t>
  </si>
  <si>
    <t>Q118</t>
  </si>
  <si>
    <t>Q218</t>
  </si>
  <si>
    <t>Q318</t>
  </si>
  <si>
    <t>Q418</t>
  </si>
  <si>
    <t>Q119</t>
  </si>
  <si>
    <t>Q219</t>
  </si>
  <si>
    <t>Q319</t>
  </si>
  <si>
    <t>Q419</t>
  </si>
  <si>
    <t>Revenue:</t>
  </si>
  <si>
    <t>Used Vehicle Sales, net</t>
  </si>
  <si>
    <t>Wholesale Vehicle Sales</t>
  </si>
  <si>
    <t>Other Sales &amp; Revenues</t>
  </si>
  <si>
    <t>Total Revenue</t>
  </si>
  <si>
    <t>Cost of Goods Sold</t>
  </si>
  <si>
    <t xml:space="preserve">Gross Profit </t>
  </si>
  <si>
    <t>Selling, General, &amp; Administrative Expenses</t>
  </si>
  <si>
    <t>Interest Expense</t>
  </si>
  <si>
    <t>Other Expenses</t>
  </si>
  <si>
    <t>Net Loss before Income Taxes</t>
  </si>
  <si>
    <t>Income Tax Provision</t>
  </si>
  <si>
    <t>Net Loss</t>
  </si>
  <si>
    <t>Net Loss attributable to non-controlling interests</t>
  </si>
  <si>
    <t xml:space="preserve">Net Loss attributable to Carvana Co. </t>
  </si>
  <si>
    <t>Preferred Dividends</t>
  </si>
  <si>
    <t>Accretion of beneficial conversion of preferred</t>
  </si>
  <si>
    <t>Net Loss atrtibutable to Common Stockholders</t>
  </si>
  <si>
    <t>Shares Outstanding, Basic &amp; Diluted</t>
  </si>
  <si>
    <t>EPS</t>
  </si>
  <si>
    <t>Quarterly</t>
  </si>
  <si>
    <t>Annual</t>
  </si>
  <si>
    <t>2016A</t>
  </si>
  <si>
    <t>2017A</t>
  </si>
  <si>
    <t>2018A</t>
  </si>
  <si>
    <t>2019P</t>
  </si>
  <si>
    <t>2020P</t>
  </si>
  <si>
    <t>2021P</t>
  </si>
  <si>
    <t>2022P</t>
  </si>
  <si>
    <t>2023P</t>
  </si>
  <si>
    <t>Income Statement</t>
  </si>
  <si>
    <t>Balance Sheet</t>
  </si>
  <si>
    <t>Assets:</t>
  </si>
  <si>
    <t>Current Assets:</t>
  </si>
  <si>
    <t>Cash &amp; Cash Equivalents</t>
  </si>
  <si>
    <t>Restricted Cash</t>
  </si>
  <si>
    <t xml:space="preserve">Accounts Receivable </t>
  </si>
  <si>
    <t>Finance Receivables held for sale</t>
  </si>
  <si>
    <t>Vehicle Inventory</t>
  </si>
  <si>
    <t>Beneficial Interest in securitizations</t>
  </si>
  <si>
    <t>Other Current Assets</t>
  </si>
  <si>
    <t>Total Current Assets</t>
  </si>
  <si>
    <t>Property and Equipment</t>
  </si>
  <si>
    <t>Operating Lease right-of-use assets</t>
  </si>
  <si>
    <t>Intangible Assets</t>
  </si>
  <si>
    <t>Goodwill</t>
  </si>
  <si>
    <t>Other Assets</t>
  </si>
  <si>
    <t>Total Assets</t>
  </si>
  <si>
    <t>Liabilities &amp; Stockholders Equity:</t>
  </si>
  <si>
    <t>Current Liabilities:</t>
  </si>
  <si>
    <t>Accounts Payable and Accrued Liabilities</t>
  </si>
  <si>
    <t>Short-term Revolving Facilities</t>
  </si>
  <si>
    <t>Current Portion of Long-term Debt</t>
  </si>
  <si>
    <t>Other Current Liabilities</t>
  </si>
  <si>
    <t>Total Current Liabilities</t>
  </si>
  <si>
    <t>Long-term Debt exc. Current Portion</t>
  </si>
  <si>
    <t>Operating Lease Liabilities</t>
  </si>
  <si>
    <t>Other Liabilities</t>
  </si>
  <si>
    <t>Total Liabilities</t>
  </si>
  <si>
    <t>Stockholders Equity:</t>
  </si>
  <si>
    <t>Preferred Stock</t>
  </si>
  <si>
    <t>Class A Common Stock</t>
  </si>
  <si>
    <t>Class B Common Stock</t>
  </si>
  <si>
    <t>Additional Paid-in Capital</t>
  </si>
  <si>
    <t>Accumulated Deficit</t>
  </si>
  <si>
    <t xml:space="preserve">Total Stockholders Equity attributable to Carvana Co. </t>
  </si>
  <si>
    <t>Non-controlling Interest</t>
  </si>
  <si>
    <t>Total Stockholders Equity</t>
  </si>
  <si>
    <t xml:space="preserve">Total Liabilities &amp; Stockholders Equity </t>
  </si>
  <si>
    <t>($ in thousands, except per share data)</t>
  </si>
  <si>
    <t>Balance Check:</t>
  </si>
  <si>
    <t>Temporary Equity</t>
  </si>
  <si>
    <t>Carvana Co.</t>
  </si>
  <si>
    <t>Cash Flow</t>
  </si>
  <si>
    <t>Cash from Operating Activities</t>
  </si>
  <si>
    <t xml:space="preserve">  + Net Income</t>
  </si>
  <si>
    <t xml:space="preserve">  + Depreciation &amp; Amortization</t>
  </si>
  <si>
    <t xml:space="preserve">  + Non-Cash Items</t>
  </si>
  <si>
    <t xml:space="preserve">  + Chg in Non-Cash Work Cap</t>
  </si>
  <si>
    <t xml:space="preserve">  + Net Cash From Disc Ops</t>
  </si>
  <si>
    <t>Cash from Investing Activities</t>
  </si>
  <si>
    <t xml:space="preserve">  + Change in Fixed &amp; Intang</t>
  </si>
  <si>
    <t xml:space="preserve">  + Net Change in LT Investment</t>
  </si>
  <si>
    <t xml:space="preserve">  + Net Cash From Acq &amp; Div</t>
  </si>
  <si>
    <t xml:space="preserve">  + Other Investing Activities</t>
  </si>
  <si>
    <t>Cash from Financing Activities</t>
  </si>
  <si>
    <t xml:space="preserve">  + Dividends Paid</t>
  </si>
  <si>
    <t xml:space="preserve">  + Cash From (Repayment) Debt</t>
  </si>
  <si>
    <t xml:space="preserve">  + Cash (Repurchase) of Equity</t>
  </si>
  <si>
    <t xml:space="preserve">  + Other Financing Activities</t>
  </si>
  <si>
    <t xml:space="preserve">  Effect of Foreign Exchange Rates</t>
  </si>
  <si>
    <t>Net Changes in Cash</t>
  </si>
  <si>
    <t>Cash Paid for Interest</t>
  </si>
  <si>
    <t>Reference Items</t>
  </si>
  <si>
    <t>EBITDA</t>
  </si>
  <si>
    <t>Trailing 12M EBITDA Margin</t>
  </si>
  <si>
    <t>Free Cash Flow</t>
  </si>
  <si>
    <t>Free Cash Flow to Equity</t>
  </si>
  <si>
    <t>Free Cash Flow per Basic Share</t>
  </si>
  <si>
    <t xml:space="preserve">  + Stock-Based Compensation</t>
  </si>
  <si>
    <t xml:space="preserve">  + Other Non-Cash Adj</t>
  </si>
  <si>
    <t xml:space="preserve">  + (Inc) Dec in Accts Receiv</t>
  </si>
  <si>
    <t xml:space="preserve">  + (Inc) Dec in Inventories</t>
  </si>
  <si>
    <t xml:space="preserve">  + Inc (Dec) in Accts Payable</t>
  </si>
  <si>
    <t xml:space="preserve">  + Inc (Dec) in Other</t>
  </si>
  <si>
    <t xml:space="preserve">  + Disp in Fixed &amp; Intang</t>
  </si>
  <si>
    <t xml:space="preserve">  + Disp of Fixed Prod Assets</t>
  </si>
  <si>
    <t xml:space="preserve">  + Disp of Intangible Assets</t>
  </si>
  <si>
    <t xml:space="preserve">  + Acq of Fixed &amp; Intang</t>
  </si>
  <si>
    <t xml:space="preserve">  + Acq of Fixed Prod Assets</t>
  </si>
  <si>
    <t xml:space="preserve">  + Acq of Intangible Assets</t>
  </si>
  <si>
    <t xml:space="preserve">  + Dec in LT Investment</t>
  </si>
  <si>
    <t xml:space="preserve">  + Inc in LT Investment</t>
  </si>
  <si>
    <t xml:space="preserve">  + Cash from Divestitures</t>
  </si>
  <si>
    <t xml:space="preserve">  + Cash for Acq of Subs</t>
  </si>
  <si>
    <t xml:space="preserve">  + Cash for JVs</t>
  </si>
  <si>
    <t xml:space="preserve">  + Increase in Capital Stock</t>
  </si>
  <si>
    <t xml:space="preserve">  + Decrease in Capital Stock</t>
  </si>
  <si>
    <t xml:space="preserve">Cash Flow </t>
  </si>
  <si>
    <t>NA</t>
  </si>
  <si>
    <t>Gross Margin</t>
  </si>
  <si>
    <t>Net Cash Paid for Acquisitions</t>
  </si>
  <si>
    <t>Gross Profit</t>
  </si>
  <si>
    <t>Sales</t>
  </si>
  <si>
    <t>% growth</t>
  </si>
  <si>
    <t>% margin</t>
  </si>
  <si>
    <t>Selling, General, &amp; Administrative</t>
  </si>
  <si>
    <t>EBIT</t>
  </si>
  <si>
    <t>Depreciation &amp; Amortization</t>
  </si>
  <si>
    <t>Taxes</t>
  </si>
  <si>
    <t>EBIAT</t>
  </si>
  <si>
    <t>Plus: Depreciation &amp; Amortization</t>
  </si>
  <si>
    <t>Less: Capital Expenditures</t>
  </si>
  <si>
    <t>Less: Inc. / (Dec.) in Net Working Capital</t>
  </si>
  <si>
    <t>Unlevered Free Cash Flow</t>
  </si>
  <si>
    <t>WACC</t>
  </si>
  <si>
    <t>Discount Period</t>
  </si>
  <si>
    <t>Discount Factor</t>
  </si>
  <si>
    <t>Present Value of Free Cash Flow</t>
  </si>
  <si>
    <t>Historical Period</t>
  </si>
  <si>
    <t>CAGR</t>
  </si>
  <si>
    <t>('16 - '18)</t>
  </si>
  <si>
    <t>Projection Period</t>
  </si>
  <si>
    <t>Discounted Cash Flow Analysis</t>
  </si>
  <si>
    <t>($ in millions, fiscal year ending December 31)</t>
  </si>
  <si>
    <t>Operating Scenario:</t>
  </si>
  <si>
    <t>Base</t>
  </si>
  <si>
    <t>Operating  Scenario</t>
  </si>
  <si>
    <t>Mid Year Convention</t>
  </si>
  <si>
    <t>('19 - '28)</t>
  </si>
  <si>
    <t>Enterprise Value</t>
  </si>
  <si>
    <t>Implied Equity Value and Share Price</t>
  </si>
  <si>
    <t xml:space="preserve">Cumulative Present Value of FCF </t>
  </si>
  <si>
    <t>Terminal Value</t>
  </si>
  <si>
    <t>Terminal Year EBITDA (2028E)</t>
  </si>
  <si>
    <t xml:space="preserve">  % of Enterprise Value</t>
  </si>
  <si>
    <t>Less: Total Debt</t>
  </si>
  <si>
    <t>Less: Preferred Stock</t>
  </si>
  <si>
    <t>Less: Noncontrolling Interest</t>
  </si>
  <si>
    <t>Plus: Cash and Cash Equivalents</t>
  </si>
  <si>
    <t>Implied Equity Value</t>
  </si>
  <si>
    <t>Implied Share Price</t>
  </si>
  <si>
    <t xml:space="preserve">Fully Diluted Shares Outstanding </t>
  </si>
  <si>
    <t>Exit Multiple Method</t>
  </si>
  <si>
    <t>Perpetuity Growth Method</t>
  </si>
  <si>
    <t>Terminal Year Unlevered FCF</t>
  </si>
  <si>
    <t>Perpetuity Growth Rate</t>
  </si>
  <si>
    <t xml:space="preserve">  Terminal Value</t>
  </si>
  <si>
    <t xml:space="preserve">  Present Value of Terminal Value</t>
  </si>
  <si>
    <t xml:space="preserve">  Enterprise Value</t>
  </si>
  <si>
    <t>Exit Multiple</t>
  </si>
  <si>
    <t>Assumptions</t>
  </si>
  <si>
    <t>Sales (% Growth)</t>
  </si>
  <si>
    <t>COGS (% Sales)</t>
  </si>
  <si>
    <t>SG&amp;A (% Sales)</t>
  </si>
  <si>
    <t>Depreciation &amp; Amortization (% Sales)</t>
  </si>
  <si>
    <t>Capital Expenditures (% Sales)</t>
  </si>
  <si>
    <t>Tax Rate</t>
  </si>
  <si>
    <t>Working Capital (% Sales)</t>
  </si>
  <si>
    <t>Sensitivity Analysis</t>
  </si>
  <si>
    <t>Net Working Capital Projections</t>
  </si>
  <si>
    <t>Weighted Average Cost of Capital Calculation</t>
  </si>
  <si>
    <t>Income Statement &amp; Cash Flow Assumptions</t>
  </si>
  <si>
    <t>Balance Sheet Assumptions</t>
  </si>
  <si>
    <t>Current Assets</t>
  </si>
  <si>
    <t>Accounts Receivable</t>
  </si>
  <si>
    <t>Prepaid Expenses and Other</t>
  </si>
  <si>
    <t xml:space="preserve">  Total Current Assets</t>
  </si>
  <si>
    <t>Current Liabilities</t>
  </si>
  <si>
    <t>Accounts Payable and Accruals</t>
  </si>
  <si>
    <t xml:space="preserve">  Total Current Liabilities</t>
  </si>
  <si>
    <t xml:space="preserve">  % sales</t>
  </si>
  <si>
    <t xml:space="preserve">  Net Working Capital </t>
  </si>
  <si>
    <t xml:space="preserve">  (Increase) / Decrease in NWC</t>
  </si>
  <si>
    <t>Days Sales Outstanding</t>
  </si>
  <si>
    <t>Days Inventory Held</t>
  </si>
  <si>
    <t>Prepaids &amp; Other Current Assets (% Sales)</t>
  </si>
  <si>
    <t>Days Payable Outstanding</t>
  </si>
  <si>
    <t>Other Current Liabilities (% Sales)</t>
  </si>
  <si>
    <t>Current Portion of LT Debt (% Sales)</t>
  </si>
  <si>
    <t>WACC Calculation</t>
  </si>
  <si>
    <t>Target Capital Structure</t>
  </si>
  <si>
    <t xml:space="preserve"> Debt-to-Total Capitalization</t>
  </si>
  <si>
    <t xml:space="preserve"> Equity-to-Total Capitalization</t>
  </si>
  <si>
    <t>Cost of Debt</t>
  </si>
  <si>
    <t xml:space="preserve"> Cost of Debt </t>
  </si>
  <si>
    <t xml:space="preserve"> Tax Rate</t>
  </si>
  <si>
    <t xml:space="preserve">  After-tax Cost of Debt</t>
  </si>
  <si>
    <t>Cost of Equity</t>
  </si>
  <si>
    <t xml:space="preserve"> Risk-free Rate (1)</t>
  </si>
  <si>
    <t xml:space="preserve"> Market Risk Premium (2)</t>
  </si>
  <si>
    <t xml:space="preserve">  Cost of Equity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</si>
  <si>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</si>
  <si>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</si>
  <si>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</si>
  <si>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</si>
  <si>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</si>
  <si>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</si>
  <si>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</si>
  <si>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</si>
  <si>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</si>
  <si>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</si>
  <si>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Income Statement Assumptions</t>
  </si>
  <si>
    <t>Cost of Goods Sold (% Sales)</t>
  </si>
  <si>
    <t>Cash Flow Statement Assumptions</t>
  </si>
  <si>
    <t>Days Sales Outstanding (DSO)</t>
  </si>
  <si>
    <t>Days Inventory Held (DIH)</t>
  </si>
  <si>
    <t>Prepaid and Other Current Assets (% Sales)</t>
  </si>
  <si>
    <t xml:space="preserve">NWC </t>
  </si>
  <si>
    <t xml:space="preserve"> </t>
  </si>
  <si>
    <t>N</t>
  </si>
  <si>
    <t>Implied Enterprise Value</t>
  </si>
  <si>
    <t>Revenue Growth QoQ</t>
  </si>
  <si>
    <t>Cost of Goods Sold (% of Revenue)</t>
  </si>
  <si>
    <t>SG&amp;A (% of Revenue)</t>
  </si>
  <si>
    <t>Interest Expense (% of Revenue)</t>
  </si>
  <si>
    <t>Other Expenses (% of Revenue)</t>
  </si>
  <si>
    <t>Non-Controlling Interests (% of Net Income)</t>
  </si>
  <si>
    <t>Shares Outstanding (% Growth)</t>
  </si>
  <si>
    <t>Used Vehicle Sales (% of Revenue)</t>
  </si>
  <si>
    <t>Wholesale Vehicle Sales (% of Revenue)</t>
  </si>
  <si>
    <t>Other Sales &amp; Revenues (% of Revenue)</t>
  </si>
  <si>
    <t xml:space="preserve"> Adjusted Beta </t>
  </si>
  <si>
    <t>Exit Multiple (EV/TTM EBITDA)</t>
  </si>
  <si>
    <t>Bull</t>
  </si>
  <si>
    <t>Bear</t>
  </si>
  <si>
    <t>Shares Outstanding</t>
  </si>
  <si>
    <t>($ in millions, except per share data)</t>
  </si>
  <si>
    <t>Market Cap.</t>
  </si>
  <si>
    <t>Description</t>
  </si>
  <si>
    <t>Shares Out</t>
  </si>
  <si>
    <t>Price</t>
  </si>
  <si>
    <t>Voting Rights</t>
  </si>
  <si>
    <t>Mkt. Cap. of Class</t>
  </si>
  <si>
    <t>Class A</t>
  </si>
  <si>
    <t>Class B</t>
  </si>
  <si>
    <t>Class B - Garcia</t>
  </si>
  <si>
    <t>Implied EV</t>
  </si>
  <si>
    <t>Mkt. Cap</t>
  </si>
  <si>
    <t>WACC =</t>
  </si>
  <si>
    <t>Equity Value</t>
  </si>
  <si>
    <t>Carvana Peer Group</t>
  </si>
  <si>
    <t>(As of Mkt Close 1/27/20)</t>
  </si>
  <si>
    <t xml:space="preserve">Implied Share Price </t>
  </si>
  <si>
    <t>Name</t>
  </si>
  <si>
    <t>Ticker</t>
  </si>
  <si>
    <t>Mkt Cap</t>
  </si>
  <si>
    <t>EV</t>
  </si>
  <si>
    <t>EV/TTM Sales</t>
  </si>
  <si>
    <t>CarMax Inc</t>
  </si>
  <si>
    <t>KMX US</t>
  </si>
  <si>
    <t>SAH US</t>
  </si>
  <si>
    <t>ABG US</t>
  </si>
  <si>
    <t>Group 1 Automotive</t>
  </si>
  <si>
    <t>GPI US</t>
  </si>
  <si>
    <t>Amazon Inc</t>
  </si>
  <si>
    <t>AMZN US</t>
  </si>
  <si>
    <t>Etsy Inc</t>
  </si>
  <si>
    <t>ETSY US</t>
  </si>
  <si>
    <t>Ebay Inc</t>
  </si>
  <si>
    <t>EBAY US</t>
  </si>
  <si>
    <t xml:space="preserve">Chewy Inc  </t>
  </si>
  <si>
    <t>CHWY US</t>
  </si>
  <si>
    <t>Wayfair Inc - A</t>
  </si>
  <si>
    <t>W US</t>
  </si>
  <si>
    <t>Carvana Co</t>
  </si>
  <si>
    <t>CVNA US</t>
  </si>
  <si>
    <t>Multiple Assumptions</t>
  </si>
  <si>
    <t>2021E  EV/Sales Multiple</t>
  </si>
  <si>
    <t>EV/Sales Vauation</t>
  </si>
  <si>
    <t>Valuation Output</t>
  </si>
  <si>
    <t xml:space="preserve">  Shares Outstanding</t>
  </si>
  <si>
    <t xml:space="preserve">  Plus: Cash and Cash Equivalents</t>
  </si>
  <si>
    <t xml:space="preserve">  Less: Noncontrolling Interest</t>
  </si>
  <si>
    <t xml:space="preserve">  Less: Total Debt</t>
  </si>
  <si>
    <t xml:space="preserve">  PV of EV</t>
  </si>
  <si>
    <t xml:space="preserve"> Discount Factor (2 yr)</t>
  </si>
  <si>
    <t xml:space="preserve"> 2021E EV/Sales Multiple</t>
  </si>
  <si>
    <t xml:space="preserve">  Plus: Total Debt</t>
  </si>
  <si>
    <t xml:space="preserve">  Plus: Noncontrolling Interest</t>
  </si>
  <si>
    <t xml:space="preserve">  Less: Cash and Equivalents</t>
  </si>
  <si>
    <t>Case</t>
  </si>
  <si>
    <t>Valuation Summary</t>
  </si>
  <si>
    <t xml:space="preserve">DCF </t>
  </si>
  <si>
    <t>EV/Sales</t>
  </si>
  <si>
    <t xml:space="preserve">Bull </t>
  </si>
  <si>
    <t>Current Price</t>
  </si>
  <si>
    <t>Target Price</t>
  </si>
  <si>
    <t>EV/Sales Multiple Valuation</t>
  </si>
  <si>
    <t>(1) US 10-Year Treasury Yield, (2) Bloomberg US Country Risk Premium</t>
  </si>
  <si>
    <t xml:space="preserve">Asbury Automotive </t>
  </si>
  <si>
    <t xml:space="preserve">Sonic Automotive </t>
  </si>
  <si>
    <t>Mean</t>
  </si>
  <si>
    <t xml:space="preserve">60/40 Blend: E-Commerce/Auto </t>
  </si>
  <si>
    <t>% Upside/</t>
  </si>
  <si>
    <t>-Downside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</si>
</sst>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7" formatCode="&quot;$&quot;#,##0.00_);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;\(0.00\)"/>
    <numFmt numFmtId="165" formatCode="_(* #,##0.00_);_(* \(#,##0.00\);_(* &quot;-&quot;_);_(@_)"/>
    <numFmt numFmtId="166" formatCode="_(* #,##0.0_);_(* \(#,##0.0\);_(* &quot;-&quot;?_);_(@_)"/>
    <numFmt numFmtId="167" formatCode="* _(#,##0.0%_);* \(#,##0.0%\);* _(&quot;-&quot;?_);_(@_)"/>
    <numFmt numFmtId="168" formatCode="0.0%"/>
    <numFmt numFmtId="169" formatCode="_(* #,##0.0\x;_(* \(#,##0.0\x\);_(* &quot;- x&quot;_);_(* @_%_)"/>
    <numFmt numFmtId="170" formatCode="&quot;$&quot;#,##0.00"/>
    <numFmt numFmtId="171" formatCode="* _(##,##0.0_);[Red]* \(##,##0.0\);* _(&quot;-&quot;?_);_(@_)"/>
    <numFmt numFmtId="172" formatCode="_(* #,##0.0%;_(* \(#,##0.0%\);_(* &quot;- %&quot;_);_(* @_%_)"/>
    <numFmt numFmtId="173" formatCode="* _(&quot;$&quot;##,##0.0_);[Red]* \(&quot;$&quot;##,##0.0\);* _(&quot;-&quot;?_);_(@_)"/>
    <numFmt numFmtId="174" formatCode="_(* #,##0.0%_);_(* \(#,##0.0%\);_(* &quot;--- %&quot;_);_(* @_%_)"/>
    <numFmt numFmtId="175" formatCode="0.0"/>
    <numFmt numFmtId="176" formatCode="0.0\x"/>
    <numFmt numFmtId="177" formatCode="#,##0.0_);\(#,##0.0\)"/>
    <numFmt numFmtId="178" formatCode="_(* #,##0.00_);_(* \(#,##0.00\);_(* &quot;-&quot;?_);_(@_)"/>
    <numFmt numFmtId="179" formatCode="_(* #,##0_);_(* \(#,##0\);_(* &quot;-&quot;??_);_(@_)"/>
    <numFmt numFmtId="180" formatCode="0.0000%"/>
    <numFmt numFmtId="181" formatCode="0&quot;E&quot;"/>
    <numFmt numFmtId="182" formatCode="_(* #,##0.0_);_(* \(#,##0.0\);_(* &quot;-&quot;??_);_(@_)"/>
    <numFmt numFmtId="183" formatCode="#,##0.0_);[Red]\(#,##0.0\)"/>
    <numFmt numFmtId="184" formatCode="0.00&quot;B&quot;"/>
  </numFmts>
  <fonts count="7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0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 val="singleAccounting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b/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63"/>
      <name val="Calibri"/>
      <family val="2"/>
      <scheme val="minor"/>
    </font>
    <font>
      <i/>
      <sz val="11"/>
      <color indexed="63"/>
      <name val="Calibri"/>
      <family val="2"/>
      <scheme val="minor"/>
    </font>
    <font>
      <i/>
      <sz val="11"/>
      <color indexed="8"/>
      <name val="Calibri"/>
      <family val="2"/>
      <scheme val="minor"/>
    </font>
    <font>
      <sz val="10"/>
      <name val="Arial"/>
      <family val="2"/>
    </font>
    <font>
      <sz val="11"/>
      <color rgb="FF0000F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6" tint="0.59999389629810485"/>
      <name val="Calibri"/>
      <family val="2"/>
      <scheme val="minor"/>
    </font>
    <font>
      <sz val="9"/>
      <name val="Times New Roman"/>
      <family val="1"/>
    </font>
    <font>
      <b/>
      <sz val="10"/>
      <name val="MS Sans Serif"/>
      <family val="2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i/>
      <sz val="11"/>
      <color rgb="FF0000FF"/>
      <name val="Calibri"/>
      <family val="2"/>
      <scheme val="minor"/>
    </font>
    <font>
      <i/>
      <sz val="11"/>
      <color rgb="FF000000"/>
      <name val="Calibri"/>
      <family val="2"/>
    </font>
    <font>
      <i/>
      <sz val="8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rgb="FF000000"/>
      <name val="Calibri"/>
      <family val="2"/>
    </font>
    <font>
      <i/>
      <sz val="8"/>
      <color rgb="FF000000"/>
      <name val="Calibri"/>
      <family val="2"/>
    </font>
    <font>
      <sz val="11"/>
      <color rgb="FF0000FF"/>
      <name val="Calibri"/>
      <family val="2"/>
    </font>
    <font>
      <u/>
      <sz val="11"/>
      <color rgb="FF0563C1"/>
      <name val="Calibri"/>
      <family val="2"/>
    </font>
    <font>
      <b/>
      <sz val="14"/>
      <color rgb="FF000000"/>
      <name val="Calibri"/>
      <family val="2"/>
    </font>
    <font>
      <sz val="11"/>
      <color rgb="FFFFFFFF"/>
      <name val="Calibri (Body)"/>
    </font>
    <font>
      <i/>
      <sz val="9"/>
      <color rgb="FFFFFFFF"/>
      <name val="Calibri (Body)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FF"/>
      <name val="Calibri"/>
      <family val="2"/>
    </font>
    <font>
      <sz val="12"/>
      <color rgb="FFFF0000"/>
      <name val="Calibri"/>
      <family val="2"/>
    </font>
    <font>
      <b/>
      <sz val="14"/>
      <color rgb="FFFFFFFF"/>
      <name val="Calibri (Body)"/>
    </font>
    <font>
      <sz val="14"/>
      <color theme="1"/>
      <name val="Calibri"/>
      <family val="2"/>
    </font>
    <font>
      <b/>
      <sz val="16"/>
      <color rgb="FF000000"/>
      <name val="Calibri"/>
      <family val="2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DBDBDB"/>
        <bgColor rgb="FF000000"/>
      </patternFill>
    </fill>
    <fill>
      <patternFill patternType="solid">
        <fgColor rgb="FF4F81BD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485"/>
        <bgColor rgb="FF000000"/>
      </patternFill>
    </fill>
  </fills>
  <borders count="4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 style="medium">
        <color auto="1"/>
      </bottom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ashed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auto="1"/>
      </left>
      <right/>
      <top style="thin">
        <color indexed="64"/>
      </top>
      <bottom/>
      <diagonal/>
    </border>
    <border>
      <left/>
      <right style="dashed">
        <color auto="1"/>
      </right>
      <top style="thin">
        <color indexed="64"/>
      </top>
      <bottom/>
      <diagonal/>
    </border>
    <border>
      <left/>
      <right style="dashed">
        <color auto="1"/>
      </right>
      <top/>
      <bottom style="thin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7">
    <xf numFmtId="0" fontId="0" fillId="0" borderId="0"/>
    <xf numFmtId="0" fontId="12" fillId="3" borderId="6"/>
    <xf numFmtId="3" fontId="12" fillId="3" borderId="7">
      <alignment horizontal="right"/>
    </xf>
    <xf numFmtId="0" fontId="13" fillId="3" borderId="6"/>
    <xf numFmtId="3" fontId="14" fillId="3" borderId="7">
      <alignment horizontal="right"/>
    </xf>
    <xf numFmtId="0" fontId="16" fillId="3" borderId="6"/>
    <xf numFmtId="3" fontId="17" fillId="3" borderId="7">
      <alignment horizontal="right"/>
    </xf>
    <xf numFmtId="4" fontId="14" fillId="3" borderId="7">
      <alignment horizontal="right"/>
    </xf>
    <xf numFmtId="0" fontId="19" fillId="4" borderId="0" applyNumberFormat="0" applyBorder="0" applyAlignment="0" applyProtection="0"/>
    <xf numFmtId="0" fontId="26" fillId="0" borderId="0" applyFill="0" applyBorder="0" applyProtection="0">
      <protection locked="0"/>
    </xf>
    <xf numFmtId="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4" fontId="35" fillId="0" borderId="0" applyFont="0" applyFill="0" applyBorder="0" applyAlignment="0" applyProtection="0">
      <alignment horizontal="right"/>
    </xf>
    <xf numFmtId="0" fontId="36" fillId="0" borderId="0" applyNumberFormat="0" applyFill="0" applyBorder="0" applyAlignment="0" applyProtection="0"/>
    <xf numFmtId="43" fontId="18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10" borderId="0"/>
  </cellStyleXfs>
  <cellXfs count="481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5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0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0" fontId="2" fillId="0" borderId="0" xfId="0" applyFont="1"/>
    <xf numFmtId="0" fontId="2" fillId="0" borderId="8" xfId="0" applyFont="1" applyBorder="1" applyAlignment="1">
      <alignment horizontal="center"/>
    </xf>
    <xf numFmtId="0" fontId="0" fillId="5" borderId="8" xfId="0" applyFill="1" applyBorder="1"/>
    <xf numFmtId="0" fontId="2" fillId="5" borderId="8" xfId="0" applyFon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6" fontId="0" fillId="0" borderId="0" xfId="0" applyNumberFormat="1"/>
    <xf numFmtId="0" fontId="11" fillId="0" borderId="0" xfId="0" applyFont="1"/>
    <xf numFmtId="0" fontId="0" fillId="0" borderId="0" xfId="0" applyFill="1"/>
    <xf numFmtId="0" fontId="2" fillId="0" borderId="0" xfId="0" applyFont="1" applyFill="1"/>
    <xf numFmtId="166" fontId="27" fillId="6" borderId="8" xfId="0" applyNumberFormat="1" applyFont="1" applyFill="1" applyBorder="1"/>
    <xf numFmtId="0" fontId="31" fillId="2" borderId="0" xfId="0" applyFont="1" applyFill="1" applyAlignment="1">
      <alignment horizontal="right"/>
    </xf>
    <xf numFmtId="0" fontId="31" fillId="2" borderId="0" xfId="0" applyFont="1" applyFill="1" applyAlignment="1">
      <alignment horizontal="center"/>
    </xf>
    <xf numFmtId="0" fontId="2" fillId="7" borderId="0" xfId="0" applyFont="1" applyFill="1"/>
    <xf numFmtId="0" fontId="0" fillId="7" borderId="8" xfId="0" applyFill="1" applyBorder="1" applyAlignment="1">
      <alignment horizontal="center"/>
    </xf>
    <xf numFmtId="0" fontId="0" fillId="0" borderId="8" xfId="0" applyBorder="1"/>
    <xf numFmtId="0" fontId="30" fillId="6" borderId="8" xfId="0" applyFont="1" applyFill="1" applyBorder="1" applyAlignment="1">
      <alignment horizontal="center"/>
    </xf>
    <xf numFmtId="0" fontId="2" fillId="0" borderId="8" xfId="0" applyFont="1" applyBorder="1"/>
    <xf numFmtId="169" fontId="27" fillId="6" borderId="8" xfId="0" applyNumberFormat="1" applyFont="1" applyFill="1" applyBorder="1"/>
    <xf numFmtId="166" fontId="2" fillId="0" borderId="0" xfId="0" applyNumberFormat="1" applyFont="1"/>
    <xf numFmtId="0" fontId="11" fillId="0" borderId="0" xfId="0" applyFont="1" applyAlignment="1">
      <alignment horizontal="left"/>
    </xf>
    <xf numFmtId="170" fontId="2" fillId="7" borderId="9" xfId="11" applyNumberFormat="1" applyFont="1" applyFill="1" applyBorder="1"/>
    <xf numFmtId="170" fontId="0" fillId="0" borderId="0" xfId="0" applyNumberFormat="1"/>
    <xf numFmtId="166" fontId="29" fillId="6" borderId="0" xfId="0" applyNumberFormat="1" applyFont="1" applyFill="1" applyBorder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10" xfId="0" applyBorder="1"/>
    <xf numFmtId="0" fontId="32" fillId="0" borderId="0" xfId="0" applyFont="1"/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6" xfId="0" applyFill="1" applyBorder="1"/>
    <xf numFmtId="0" fontId="0" fillId="7" borderId="0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8" xfId="0" applyFill="1" applyBorder="1"/>
    <xf numFmtId="0" fontId="11" fillId="7" borderId="12" xfId="0" applyFont="1" applyFill="1" applyBorder="1" applyAlignment="1">
      <alignment horizontal="right"/>
    </xf>
    <xf numFmtId="167" fontId="11" fillId="7" borderId="12" xfId="10" applyNumberFormat="1" applyFont="1" applyFill="1" applyBorder="1"/>
    <xf numFmtId="167" fontId="11" fillId="7" borderId="13" xfId="10" applyNumberFormat="1" applyFont="1" applyFill="1" applyBorder="1"/>
    <xf numFmtId="167" fontId="11" fillId="7" borderId="0" xfId="10" applyNumberFormat="1" applyFont="1" applyFill="1" applyBorder="1"/>
    <xf numFmtId="167" fontId="11" fillId="7" borderId="14" xfId="10" applyNumberFormat="1" applyFont="1" applyFill="1" applyBorder="1"/>
    <xf numFmtId="167" fontId="11" fillId="7" borderId="8" xfId="10" applyNumberFormat="1" applyFont="1" applyFill="1" applyBorder="1"/>
    <xf numFmtId="167" fontId="11" fillId="7" borderId="16" xfId="10" applyNumberFormat="1" applyFont="1" applyFill="1" applyBorder="1"/>
    <xf numFmtId="0" fontId="2" fillId="7" borderId="8" xfId="0" applyFon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32" fillId="0" borderId="8" xfId="0" applyFont="1" applyBorder="1"/>
    <xf numFmtId="0" fontId="32" fillId="7" borderId="18" xfId="0" applyFont="1" applyFill="1" applyBorder="1"/>
    <xf numFmtId="0" fontId="0" fillId="7" borderId="19" xfId="0" applyFill="1" applyBorder="1"/>
    <xf numFmtId="0" fontId="32" fillId="7" borderId="15" xfId="0" applyFont="1" applyFill="1" applyBorder="1"/>
    <xf numFmtId="0" fontId="0" fillId="7" borderId="20" xfId="0" applyFill="1" applyBorder="1"/>
    <xf numFmtId="0" fontId="0" fillId="7" borderId="3" xfId="0" applyFill="1" applyBorder="1"/>
    <xf numFmtId="0" fontId="0" fillId="0" borderId="3" xfId="0" applyBorder="1"/>
    <xf numFmtId="0" fontId="0" fillId="0" borderId="17" xfId="0" applyBorder="1"/>
    <xf numFmtId="171" fontId="0" fillId="7" borderId="0" xfId="0" applyNumberFormat="1" applyFill="1" applyBorder="1"/>
    <xf numFmtId="172" fontId="0" fillId="7" borderId="0" xfId="10" applyNumberFormat="1" applyFont="1" applyFill="1" applyBorder="1"/>
    <xf numFmtId="172" fontId="0" fillId="7" borderId="3" xfId="0" applyNumberFormat="1" applyFill="1" applyBorder="1"/>
    <xf numFmtId="172" fontId="0" fillId="7" borderId="0" xfId="0" applyNumberFormat="1" applyFill="1" applyBorder="1"/>
    <xf numFmtId="172" fontId="0" fillId="7" borderId="14" xfId="0" applyNumberFormat="1" applyFill="1" applyBorder="1"/>
    <xf numFmtId="172" fontId="0" fillId="7" borderId="17" xfId="0" applyNumberFormat="1" applyFill="1" applyBorder="1"/>
    <xf numFmtId="172" fontId="0" fillId="7" borderId="8" xfId="0" applyNumberFormat="1" applyFill="1" applyBorder="1"/>
    <xf numFmtId="172" fontId="0" fillId="7" borderId="16" xfId="0" applyNumberFormat="1" applyFill="1" applyBorder="1"/>
    <xf numFmtId="171" fontId="0" fillId="7" borderId="14" xfId="0" applyNumberFormat="1" applyFill="1" applyBorder="1"/>
    <xf numFmtId="172" fontId="0" fillId="7" borderId="8" xfId="10" applyNumberFormat="1" applyFont="1" applyFill="1" applyBorder="1"/>
    <xf numFmtId="171" fontId="0" fillId="7" borderId="3" xfId="0" applyNumberFormat="1" applyFill="1" applyBorder="1"/>
    <xf numFmtId="0" fontId="0" fillId="0" borderId="0" xfId="0" applyAlignment="1">
      <alignment horizontal="center"/>
    </xf>
    <xf numFmtId="172" fontId="27" fillId="6" borderId="0" xfId="10" applyNumberFormat="1" applyFont="1" applyFill="1"/>
    <xf numFmtId="172" fontId="0" fillId="0" borderId="0" xfId="0" applyNumberFormat="1"/>
    <xf numFmtId="172" fontId="27" fillId="6" borderId="0" xfId="0" applyNumberFormat="1" applyFont="1" applyFill="1"/>
    <xf numFmtId="172" fontId="2" fillId="7" borderId="9" xfId="10" applyNumberFormat="1" applyFont="1" applyFill="1" applyBorder="1"/>
    <xf numFmtId="168" fontId="2" fillId="8" borderId="14" xfId="10" applyNumberFormat="1" applyFont="1" applyFill="1" applyBorder="1"/>
    <xf numFmtId="168" fontId="30" fillId="8" borderId="14" xfId="10" applyNumberFormat="1" applyFont="1" applyFill="1" applyBorder="1"/>
    <xf numFmtId="172" fontId="34" fillId="7" borderId="0" xfId="0" applyNumberFormat="1" applyFont="1" applyFill="1"/>
    <xf numFmtId="168" fontId="2" fillId="8" borderId="19" xfId="10" applyNumberFormat="1" applyFont="1" applyFill="1" applyBorder="1" applyAlignment="1">
      <alignment horizontal="center"/>
    </xf>
    <xf numFmtId="168" fontId="30" fillId="8" borderId="19" xfId="1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Border="1"/>
    <xf numFmtId="172" fontId="0" fillId="6" borderId="11" xfId="0" applyNumberFormat="1" applyFill="1" applyBorder="1"/>
    <xf numFmtId="172" fontId="0" fillId="6" borderId="12" xfId="0" applyNumberFormat="1" applyFill="1" applyBorder="1"/>
    <xf numFmtId="172" fontId="0" fillId="6" borderId="13" xfId="0" applyNumberFormat="1" applyFill="1" applyBorder="1"/>
    <xf numFmtId="172" fontId="0" fillId="6" borderId="6" xfId="0" applyNumberFormat="1" applyFill="1" applyBorder="1"/>
    <xf numFmtId="172" fontId="0" fillId="6" borderId="0" xfId="0" applyNumberFormat="1" applyFill="1" applyBorder="1"/>
    <xf numFmtId="172" fontId="0" fillId="6" borderId="14" xfId="0" applyNumberFormat="1" applyFill="1" applyBorder="1"/>
    <xf numFmtId="172" fontId="0" fillId="6" borderId="15" xfId="0" applyNumberFormat="1" applyFill="1" applyBorder="1"/>
    <xf numFmtId="172" fontId="0" fillId="6" borderId="8" xfId="0" applyNumberFormat="1" applyFill="1" applyBorder="1"/>
    <xf numFmtId="172" fontId="0" fillId="6" borderId="16" xfId="0" applyNumberFormat="1" applyFill="1" applyBorder="1"/>
    <xf numFmtId="0" fontId="32" fillId="0" borderId="0" xfId="0" applyFont="1" applyAlignment="1">
      <alignment horizontal="left"/>
    </xf>
    <xf numFmtId="0" fontId="0" fillId="0" borderId="19" xfId="0" applyBorder="1"/>
    <xf numFmtId="167" fontId="11" fillId="7" borderId="21" xfId="10" applyNumberFormat="1" applyFont="1" applyFill="1" applyBorder="1"/>
    <xf numFmtId="167" fontId="11" fillId="7" borderId="4" xfId="10" applyNumberFormat="1" applyFont="1" applyFill="1" applyBorder="1"/>
    <xf numFmtId="167" fontId="11" fillId="7" borderId="22" xfId="10" applyNumberFormat="1" applyFont="1" applyFill="1" applyBorder="1"/>
    <xf numFmtId="173" fontId="0" fillId="0" borderId="0" xfId="0" applyNumberFormat="1"/>
    <xf numFmtId="173" fontId="0" fillId="0" borderId="3" xfId="0" applyNumberFormat="1" applyBorder="1"/>
    <xf numFmtId="173" fontId="2" fillId="0" borderId="0" xfId="0" applyNumberFormat="1" applyFont="1"/>
    <xf numFmtId="173" fontId="2" fillId="0" borderId="3" xfId="0" applyNumberFormat="1" applyFont="1" applyBorder="1"/>
    <xf numFmtId="173" fontId="2" fillId="7" borderId="0" xfId="0" applyNumberFormat="1" applyFont="1" applyFill="1"/>
    <xf numFmtId="173" fontId="27" fillId="6" borderId="0" xfId="0" applyNumberFormat="1" applyFont="1" applyFill="1" applyBorder="1"/>
    <xf numFmtId="173" fontId="0" fillId="0" borderId="0" xfId="0" applyNumberFormat="1" applyBorder="1"/>
    <xf numFmtId="173" fontId="2" fillId="0" borderId="0" xfId="0" applyNumberFormat="1" applyFont="1" applyBorder="1"/>
    <xf numFmtId="173" fontId="2" fillId="7" borderId="0" xfId="0" applyNumberFormat="1" applyFont="1" applyFill="1" applyAlignment="1">
      <alignment horizontal="right"/>
    </xf>
    <xf numFmtId="173" fontId="27" fillId="6" borderId="8" xfId="0" applyNumberFormat="1" applyFont="1" applyFill="1" applyBorder="1"/>
    <xf numFmtId="173" fontId="0" fillId="0" borderId="8" xfId="0" applyNumberFormat="1" applyBorder="1"/>
    <xf numFmtId="172" fontId="0" fillId="0" borderId="0" xfId="10" applyNumberFormat="1" applyFont="1" applyFill="1" applyBorder="1"/>
    <xf numFmtId="173" fontId="0" fillId="0" borderId="17" xfId="0" applyNumberFormat="1" applyBorder="1"/>
    <xf numFmtId="172" fontId="0" fillId="0" borderId="3" xfId="10" applyNumberFormat="1" applyFont="1" applyFill="1" applyBorder="1"/>
    <xf numFmtId="172" fontId="0" fillId="0" borderId="0" xfId="0" applyNumberFormat="1" applyFill="1" applyBorder="1"/>
    <xf numFmtId="172" fontId="0" fillId="0" borderId="8" xfId="0" applyNumberFormat="1" applyFill="1" applyBorder="1"/>
    <xf numFmtId="171" fontId="0" fillId="0" borderId="8" xfId="0" applyNumberFormat="1" applyFill="1" applyBorder="1"/>
    <xf numFmtId="171" fontId="0" fillId="6" borderId="11" xfId="0" applyNumberFormat="1" applyFill="1" applyBorder="1"/>
    <xf numFmtId="171" fontId="0" fillId="6" borderId="12" xfId="0" applyNumberFormat="1" applyFill="1" applyBorder="1"/>
    <xf numFmtId="171" fontId="0" fillId="6" borderId="13" xfId="0" applyNumberFormat="1" applyFill="1" applyBorder="1"/>
    <xf numFmtId="171" fontId="0" fillId="6" borderId="6" xfId="0" applyNumberFormat="1" applyFill="1" applyBorder="1"/>
    <xf numFmtId="171" fontId="0" fillId="6" borderId="0" xfId="0" applyNumberFormat="1" applyFill="1" applyBorder="1"/>
    <xf numFmtId="171" fontId="0" fillId="6" borderId="14" xfId="0" applyNumberFormat="1" applyFill="1" applyBorder="1"/>
    <xf numFmtId="171" fontId="0" fillId="6" borderId="15" xfId="0" applyNumberFormat="1" applyFill="1" applyBorder="1"/>
    <xf numFmtId="171" fontId="0" fillId="6" borderId="8" xfId="0" applyNumberFormat="1" applyFill="1" applyBorder="1"/>
    <xf numFmtId="171" fontId="0" fillId="6" borderId="16" xfId="0" applyNumberFormat="1" applyFill="1" applyBorder="1"/>
    <xf numFmtId="2" fontId="0" fillId="0" borderId="8" xfId="0" applyNumberFormat="1" applyBorder="1"/>
    <xf numFmtId="2" fontId="27" fillId="6" borderId="0" xfId="0" applyNumberFormat="1" applyFont="1" applyFill="1"/>
    <xf numFmtId="168" fontId="0" fillId="0" borderId="0" xfId="10" applyNumberFormat="1" applyFont="1" applyAlignment="1">
      <alignment horizontal="center"/>
    </xf>
    <xf numFmtId="168" fontId="33" fillId="2" borderId="0" xfId="10" applyNumberFormat="1" applyFont="1" applyFill="1" applyAlignment="1">
      <alignment horizontal="center"/>
    </xf>
    <xf numFmtId="168" fontId="2" fillId="7" borderId="0" xfId="10" applyNumberFormat="1" applyFont="1" applyFill="1" applyAlignment="1">
      <alignment horizontal="center"/>
    </xf>
    <xf numFmtId="168" fontId="11" fillId="0" borderId="0" xfId="10" applyNumberFormat="1" applyFont="1"/>
    <xf numFmtId="168" fontId="0" fillId="0" borderId="0" xfId="0" applyNumberFormat="1"/>
    <xf numFmtId="168" fontId="27" fillId="6" borderId="8" xfId="10" applyNumberFormat="1" applyFont="1" applyFill="1" applyBorder="1"/>
    <xf numFmtId="167" fontId="0" fillId="0" borderId="8" xfId="0" applyNumberFormat="1" applyBorder="1"/>
    <xf numFmtId="168" fontId="0" fillId="0" borderId="3" xfId="10" applyNumberFormat="1" applyFont="1" applyBorder="1"/>
    <xf numFmtId="43" fontId="27" fillId="6" borderId="0" xfId="14" applyFont="1" applyFill="1"/>
    <xf numFmtId="0" fontId="28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8" fillId="0" borderId="0" xfId="0" applyFont="1" applyFill="1" applyAlignment="1"/>
    <xf numFmtId="177" fontId="2" fillId="0" borderId="0" xfId="0" applyNumberFormat="1" applyFont="1" applyAlignment="1">
      <alignment horizontal="center"/>
    </xf>
    <xf numFmtId="177" fontId="2" fillId="7" borderId="0" xfId="0" applyNumberFormat="1" applyFont="1" applyFill="1" applyAlignment="1">
      <alignment horizontal="center"/>
    </xf>
    <xf numFmtId="177" fontId="28" fillId="2" borderId="0" xfId="0" applyNumberFormat="1" applyFont="1" applyFill="1" applyAlignment="1">
      <alignment horizontal="center"/>
    </xf>
    <xf numFmtId="7" fontId="2" fillId="0" borderId="0" xfId="0" applyNumberFormat="1" applyFont="1" applyAlignment="1">
      <alignment horizontal="center"/>
    </xf>
    <xf numFmtId="7" fontId="28" fillId="2" borderId="0" xfId="0" applyNumberFormat="1" applyFont="1" applyFill="1" applyAlignment="1">
      <alignment horizontal="center"/>
    </xf>
    <xf numFmtId="7" fontId="2" fillId="7" borderId="0" xfId="0" applyNumberFormat="1" applyFont="1" applyFill="1" applyAlignment="1">
      <alignment horizontal="center"/>
    </xf>
    <xf numFmtId="176" fontId="37" fillId="8" borderId="19" xfId="0" applyNumberFormat="1" applyFont="1" applyFill="1" applyBorder="1" applyAlignment="1">
      <alignment horizontal="center" vertical="center"/>
    </xf>
    <xf numFmtId="176" fontId="38" fillId="8" borderId="19" xfId="0" applyNumberFormat="1" applyFont="1" applyFill="1" applyBorder="1" applyAlignment="1">
      <alignment horizontal="center" vertical="center"/>
    </xf>
    <xf numFmtId="168" fontId="37" fillId="8" borderId="19" xfId="10" applyNumberFormat="1" applyFont="1" applyFill="1" applyBorder="1" applyAlignment="1">
      <alignment horizontal="center" vertical="center"/>
    </xf>
    <xf numFmtId="168" fontId="38" fillId="8" borderId="19" xfId="10" applyNumberFormat="1" applyFont="1" applyFill="1" applyBorder="1" applyAlignment="1">
      <alignment horizontal="center" vertical="center"/>
    </xf>
    <xf numFmtId="170" fontId="34" fillId="7" borderId="0" xfId="0" applyNumberFormat="1" applyFont="1" applyFill="1"/>
    <xf numFmtId="168" fontId="37" fillId="8" borderId="14" xfId="10" applyNumberFormat="1" applyFont="1" applyFill="1" applyBorder="1" applyAlignment="1">
      <alignment horizontal="center" vertical="center"/>
    </xf>
    <xf numFmtId="168" fontId="38" fillId="8" borderId="14" xfId="10" applyNumberFormat="1" applyFont="1" applyFill="1" applyBorder="1" applyAlignment="1">
      <alignment horizontal="center" vertical="center"/>
    </xf>
    <xf numFmtId="178" fontId="0" fillId="0" borderId="0" xfId="0" applyNumberFormat="1"/>
    <xf numFmtId="167" fontId="39" fillId="6" borderId="0" xfId="10" applyNumberFormat="1" applyFont="1" applyFill="1" applyBorder="1"/>
    <xf numFmtId="167" fontId="39" fillId="6" borderId="14" xfId="10" applyNumberFormat="1" applyFont="1" applyFill="1" applyBorder="1"/>
    <xf numFmtId="0" fontId="2" fillId="0" borderId="1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41" fontId="2" fillId="0" borderId="0" xfId="0" applyNumberFormat="1" applyFont="1" applyFill="1" applyAlignment="1">
      <alignment horizontal="right"/>
    </xf>
    <xf numFmtId="41" fontId="2" fillId="0" borderId="0" xfId="0" applyNumberFormat="1" applyFont="1" applyFill="1" applyBorder="1" applyAlignment="1">
      <alignment horizontal="right"/>
    </xf>
    <xf numFmtId="41" fontId="2" fillId="0" borderId="3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2" fillId="0" borderId="3" xfId="0" applyFont="1" applyFill="1" applyBorder="1"/>
    <xf numFmtId="0" fontId="0" fillId="0" borderId="0" xfId="0" applyFont="1" applyFill="1" applyAlignment="1">
      <alignment horizontal="left" indent="1"/>
    </xf>
    <xf numFmtId="41" fontId="0" fillId="0" borderId="0" xfId="0" applyNumberFormat="1" applyFill="1" applyAlignment="1">
      <alignment horizontal="right"/>
    </xf>
    <xf numFmtId="41" fontId="0" fillId="0" borderId="0" xfId="0" applyNumberFormat="1" applyFill="1" applyBorder="1" applyAlignment="1">
      <alignment horizontal="right"/>
    </xf>
    <xf numFmtId="41" fontId="0" fillId="0" borderId="3" xfId="0" applyNumberFormat="1" applyFill="1" applyBorder="1" applyAlignment="1">
      <alignment horizontal="right"/>
    </xf>
    <xf numFmtId="41" fontId="8" fillId="0" borderId="0" xfId="0" applyNumberFormat="1" applyFont="1" applyFill="1" applyAlignment="1">
      <alignment horizontal="right"/>
    </xf>
    <xf numFmtId="41" fontId="8" fillId="0" borderId="0" xfId="0" applyNumberFormat="1" applyFont="1" applyFill="1" applyBorder="1" applyAlignment="1">
      <alignment horizontal="right"/>
    </xf>
    <xf numFmtId="41" fontId="8" fillId="0" borderId="3" xfId="0" applyNumberFormat="1" applyFont="1" applyFill="1" applyBorder="1" applyAlignment="1">
      <alignment horizontal="right"/>
    </xf>
    <xf numFmtId="0" fontId="0" fillId="0" borderId="0" xfId="0" quotePrefix="1" applyFont="1" applyFill="1" applyAlignment="1">
      <alignment horizontal="left" indent="1"/>
    </xf>
    <xf numFmtId="0" fontId="0" fillId="0" borderId="0" xfId="0" applyFont="1" applyFill="1"/>
    <xf numFmtId="44" fontId="2" fillId="0" borderId="0" xfId="0" applyNumberFormat="1" applyFont="1" applyFill="1"/>
    <xf numFmtId="44" fontId="2" fillId="0" borderId="0" xfId="0" applyNumberFormat="1" applyFont="1" applyFill="1" applyAlignment="1">
      <alignment horizontal="right"/>
    </xf>
    <xf numFmtId="44" fontId="2" fillId="0" borderId="3" xfId="0" applyNumberFormat="1" applyFont="1" applyFill="1" applyBorder="1" applyAlignment="1">
      <alignment horizontal="right" indent="2"/>
    </xf>
    <xf numFmtId="44" fontId="2" fillId="0" borderId="3" xfId="0" applyNumberFormat="1" applyFont="1" applyFill="1" applyBorder="1" applyAlignment="1">
      <alignment horizontal="right"/>
    </xf>
    <xf numFmtId="44" fontId="2" fillId="0" borderId="0" xfId="0" applyNumberFormat="1" applyFont="1" applyFill="1" applyBorder="1" applyAlignment="1">
      <alignment horizontal="right" indent="2"/>
    </xf>
    <xf numFmtId="44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/>
    <xf numFmtId="41" fontId="0" fillId="0" borderId="0" xfId="0" applyNumberFormat="1" applyFill="1"/>
    <xf numFmtId="43" fontId="2" fillId="0" borderId="0" xfId="0" applyNumberFormat="1" applyFont="1" applyFill="1"/>
    <xf numFmtId="0" fontId="11" fillId="0" borderId="0" xfId="0" applyFont="1" applyFill="1"/>
    <xf numFmtId="168" fontId="0" fillId="0" borderId="0" xfId="10" applyNumberFormat="1" applyFont="1" applyFill="1" applyAlignment="1">
      <alignment horizontal="right"/>
    </xf>
    <xf numFmtId="168" fontId="0" fillId="0" borderId="0" xfId="10" applyNumberFormat="1" applyFont="1" applyFill="1"/>
    <xf numFmtId="0" fontId="10" fillId="0" borderId="0" xfId="0" applyFont="1" applyFill="1"/>
    <xf numFmtId="164" fontId="11" fillId="0" borderId="0" xfId="0" applyNumberFormat="1" applyFont="1" applyFill="1"/>
    <xf numFmtId="0" fontId="13" fillId="0" borderId="0" xfId="3" applyNumberFormat="1" applyFont="1" applyFill="1" applyBorder="1" applyAlignment="1" applyProtection="1"/>
    <xf numFmtId="41" fontId="14" fillId="0" borderId="0" xfId="4" applyNumberFormat="1" applyFont="1" applyFill="1" applyBorder="1" applyAlignment="1" applyProtection="1">
      <alignment horizontal="right"/>
    </xf>
    <xf numFmtId="0" fontId="15" fillId="0" borderId="0" xfId="3" applyNumberFormat="1" applyFont="1" applyFill="1" applyBorder="1" applyAlignment="1" applyProtection="1"/>
    <xf numFmtId="41" fontId="12" fillId="0" borderId="0" xfId="4" applyNumberFormat="1" applyFont="1" applyFill="1" applyBorder="1" applyAlignment="1" applyProtection="1">
      <alignment horizontal="right"/>
    </xf>
    <xf numFmtId="0" fontId="12" fillId="0" borderId="0" xfId="1" applyNumberFormat="1" applyFont="1" applyFill="1" applyBorder="1" applyAlignment="1" applyProtection="1"/>
    <xf numFmtId="41" fontId="12" fillId="0" borderId="0" xfId="2" applyNumberFormat="1" applyFont="1" applyFill="1" applyBorder="1" applyAlignment="1" applyProtection="1">
      <alignment horizontal="right"/>
    </xf>
    <xf numFmtId="3" fontId="14" fillId="0" borderId="0" xfId="4" applyNumberFormat="1" applyFont="1" applyFill="1" applyBorder="1" applyAlignment="1" applyProtection="1">
      <alignment horizontal="right"/>
    </xf>
    <xf numFmtId="41" fontId="13" fillId="0" borderId="0" xfId="3" applyNumberFormat="1" applyFont="1" applyFill="1" applyBorder="1" applyAlignment="1" applyProtection="1"/>
    <xf numFmtId="3" fontId="12" fillId="0" borderId="0" xfId="2" applyNumberFormat="1" applyFont="1" applyFill="1" applyBorder="1" applyAlignment="1" applyProtection="1">
      <alignment horizontal="right"/>
    </xf>
    <xf numFmtId="41" fontId="12" fillId="0" borderId="0" xfId="1" applyNumberFormat="1" applyFont="1" applyFill="1" applyBorder="1" applyAlignment="1" applyProtection="1"/>
    <xf numFmtId="0" fontId="21" fillId="0" borderId="0" xfId="1" applyNumberFormat="1" applyFont="1" applyFill="1" applyBorder="1" applyAlignment="1" applyProtection="1"/>
    <xf numFmtId="3" fontId="22" fillId="0" borderId="0" xfId="4" applyNumberFormat="1" applyFont="1" applyFill="1" applyBorder="1" applyAlignment="1" applyProtection="1">
      <alignment horizontal="right"/>
    </xf>
    <xf numFmtId="0" fontId="0" fillId="0" borderId="3" xfId="0" applyFont="1" applyFill="1" applyBorder="1"/>
    <xf numFmtId="0" fontId="23" fillId="0" borderId="0" xfId="3" applyNumberFormat="1" applyFont="1" applyFill="1" applyBorder="1" applyAlignment="1" applyProtection="1"/>
    <xf numFmtId="41" fontId="22" fillId="0" borderId="0" xfId="4" applyNumberFormat="1" applyFont="1" applyFill="1" applyBorder="1" applyAlignment="1" applyProtection="1">
      <alignment horizontal="right"/>
    </xf>
    <xf numFmtId="0" fontId="23" fillId="0" borderId="0" xfId="3" applyNumberFormat="1" applyFont="1" applyFill="1" applyBorder="1" applyAlignment="1" applyProtection="1">
      <alignment horizontal="left"/>
    </xf>
    <xf numFmtId="41" fontId="21" fillId="0" borderId="0" xfId="2" applyNumberFormat="1" applyFont="1" applyFill="1" applyBorder="1" applyAlignment="1" applyProtection="1">
      <alignment horizontal="right"/>
    </xf>
    <xf numFmtId="0" fontId="24" fillId="0" borderId="0" xfId="5" applyNumberFormat="1" applyFont="1" applyFill="1" applyBorder="1" applyAlignment="1" applyProtection="1"/>
    <xf numFmtId="41" fontId="25" fillId="0" borderId="0" xfId="6" applyNumberFormat="1" applyFont="1" applyFill="1" applyBorder="1" applyAlignment="1" applyProtection="1">
      <alignment horizontal="right"/>
    </xf>
    <xf numFmtId="165" fontId="22" fillId="0" borderId="0" xfId="7" applyNumberFormat="1" applyFont="1" applyFill="1" applyBorder="1" applyAlignment="1" applyProtection="1">
      <alignment horizontal="right"/>
    </xf>
    <xf numFmtId="41" fontId="22" fillId="0" borderId="0" xfId="7" applyNumberFormat="1" applyFont="1" applyFill="1" applyBorder="1" applyAlignment="1" applyProtection="1">
      <alignment horizontal="right"/>
    </xf>
    <xf numFmtId="43" fontId="22" fillId="0" borderId="0" xfId="7" applyNumberFormat="1" applyFont="1" applyFill="1" applyBorder="1" applyAlignment="1" applyProtection="1">
      <alignment horizontal="right"/>
    </xf>
    <xf numFmtId="43" fontId="0" fillId="0" borderId="3" xfId="0" applyNumberFormat="1" applyFont="1" applyFill="1" applyBorder="1"/>
    <xf numFmtId="43" fontId="0" fillId="0" borderId="0" xfId="0" applyNumberFormat="1" applyFont="1" applyFill="1"/>
    <xf numFmtId="0" fontId="0" fillId="0" borderId="5" xfId="0" applyFill="1" applyBorder="1"/>
    <xf numFmtId="0" fontId="0" fillId="0" borderId="3" xfId="0" applyFill="1" applyBorder="1"/>
    <xf numFmtId="41" fontId="0" fillId="0" borderId="0" xfId="0" applyNumberFormat="1" applyFont="1" applyFill="1" applyAlignment="1">
      <alignment horizontal="right"/>
    </xf>
    <xf numFmtId="41" fontId="0" fillId="0" borderId="0" xfId="0" applyNumberFormat="1" applyFont="1" applyFill="1" applyBorder="1" applyAlignment="1">
      <alignment horizontal="right"/>
    </xf>
    <xf numFmtId="41" fontId="0" fillId="0" borderId="3" xfId="0" applyNumberFormat="1" applyFont="1" applyFill="1" applyBorder="1" applyAlignment="1">
      <alignment horizontal="right"/>
    </xf>
    <xf numFmtId="0" fontId="0" fillId="0" borderId="0" xfId="0" applyFill="1" applyBorder="1"/>
    <xf numFmtId="0" fontId="0" fillId="0" borderId="0" xfId="0" applyFont="1" applyFill="1" applyAlignment="1">
      <alignment horizontal="left" indent="2"/>
    </xf>
    <xf numFmtId="0" fontId="0" fillId="0" borderId="0" xfId="0" quotePrefix="1" applyFont="1" applyFill="1" applyAlignment="1">
      <alignment horizontal="left" indent="2"/>
    </xf>
    <xf numFmtId="0" fontId="8" fillId="0" borderId="0" xfId="0" applyFont="1" applyFill="1"/>
    <xf numFmtId="0" fontId="2" fillId="0" borderId="0" xfId="0" applyFont="1" applyFill="1" applyAlignment="1">
      <alignment horizontal="left" indent="1"/>
    </xf>
    <xf numFmtId="0" fontId="9" fillId="0" borderId="0" xfId="0" applyFont="1" applyFill="1"/>
    <xf numFmtId="41" fontId="10" fillId="0" borderId="0" xfId="0" applyNumberFormat="1" applyFont="1" applyFill="1" applyAlignment="1">
      <alignment horizontal="right"/>
    </xf>
    <xf numFmtId="41" fontId="10" fillId="0" borderId="0" xfId="0" applyNumberFormat="1" applyFont="1" applyFill="1" applyBorder="1" applyAlignment="1">
      <alignment horizontal="right"/>
    </xf>
    <xf numFmtId="41" fontId="10" fillId="0" borderId="3" xfId="0" applyNumberFormat="1" applyFont="1" applyFill="1" applyBorder="1" applyAlignment="1">
      <alignment horizontal="right"/>
    </xf>
    <xf numFmtId="0" fontId="10" fillId="0" borderId="3" xfId="0" applyFont="1" applyFill="1" applyBorder="1"/>
    <xf numFmtId="0" fontId="2" fillId="0" borderId="0" xfId="0" applyFont="1" applyFill="1" applyAlignment="1">
      <alignment horizontal="left"/>
    </xf>
    <xf numFmtId="41" fontId="0" fillId="0" borderId="0" xfId="0" applyNumberFormat="1" applyFont="1" applyFill="1"/>
    <xf numFmtId="41" fontId="0" fillId="0" borderId="0" xfId="0" applyNumberFormat="1" applyFont="1" applyFill="1" applyBorder="1"/>
    <xf numFmtId="41" fontId="0" fillId="0" borderId="3" xfId="0" applyNumberFormat="1" applyFont="1" applyFill="1" applyBorder="1"/>
    <xf numFmtId="41" fontId="10" fillId="0" borderId="0" xfId="0" applyNumberFormat="1" applyFont="1" applyFill="1"/>
    <xf numFmtId="41" fontId="10" fillId="0" borderId="0" xfId="0" applyNumberFormat="1" applyFont="1" applyFill="1" applyBorder="1"/>
    <xf numFmtId="41" fontId="10" fillId="0" borderId="3" xfId="0" applyNumberFormat="1" applyFont="1" applyFill="1" applyBorder="1"/>
    <xf numFmtId="41" fontId="2" fillId="0" borderId="0" xfId="0" applyNumberFormat="1" applyFont="1" applyFill="1"/>
    <xf numFmtId="41" fontId="2" fillId="0" borderId="3" xfId="0" applyNumberFormat="1" applyFont="1" applyFill="1" applyBorder="1"/>
    <xf numFmtId="41" fontId="8" fillId="0" borderId="0" xfId="0" applyNumberFormat="1" applyFont="1" applyFill="1"/>
    <xf numFmtId="0" fontId="32" fillId="0" borderId="8" xfId="0" applyFont="1" applyFill="1" applyBorder="1"/>
    <xf numFmtId="0" fontId="0" fillId="0" borderId="8" xfId="0" applyFill="1" applyBorder="1"/>
    <xf numFmtId="175" fontId="0" fillId="0" borderId="0" xfId="0" applyNumberFormat="1" applyFill="1"/>
    <xf numFmtId="167" fontId="40" fillId="9" borderId="3" xfId="10" applyNumberFormat="1" applyFont="1" applyFill="1" applyBorder="1"/>
    <xf numFmtId="167" fontId="40" fillId="9" borderId="0" xfId="10" applyNumberFormat="1" applyFont="1" applyFill="1" applyBorder="1"/>
    <xf numFmtId="167" fontId="40" fillId="9" borderId="25" xfId="10" applyNumberFormat="1" applyFont="1" applyFill="1" applyBorder="1"/>
    <xf numFmtId="167" fontId="40" fillId="9" borderId="3" xfId="0" applyNumberFormat="1" applyFont="1" applyFill="1" applyBorder="1"/>
    <xf numFmtId="167" fontId="40" fillId="9" borderId="0" xfId="0" applyNumberFormat="1" applyFont="1" applyFill="1" applyBorder="1"/>
    <xf numFmtId="167" fontId="40" fillId="9" borderId="25" xfId="0" applyNumberFormat="1" applyFont="1" applyFill="1" applyBorder="1"/>
    <xf numFmtId="167" fontId="40" fillId="9" borderId="26" xfId="0" applyNumberFormat="1" applyFont="1" applyFill="1" applyBorder="1"/>
    <xf numFmtId="167" fontId="40" fillId="9" borderId="27" xfId="0" applyNumberFormat="1" applyFont="1" applyFill="1" applyBorder="1"/>
    <xf numFmtId="167" fontId="40" fillId="9" borderId="28" xfId="0" applyNumberFormat="1" applyFont="1" applyFill="1" applyBorder="1"/>
    <xf numFmtId="0" fontId="11" fillId="7" borderId="29" xfId="0" applyFont="1" applyFill="1" applyBorder="1"/>
    <xf numFmtId="0" fontId="11" fillId="7" borderId="30" xfId="0" applyFont="1" applyFill="1" applyBorder="1"/>
    <xf numFmtId="0" fontId="11" fillId="7" borderId="31" xfId="0" applyFont="1" applyFill="1" applyBorder="1"/>
    <xf numFmtId="167" fontId="11" fillId="7" borderId="5" xfId="8" applyNumberFormat="1" applyFont="1" applyFill="1" applyBorder="1"/>
    <xf numFmtId="167" fontId="11" fillId="7" borderId="0" xfId="8" applyNumberFormat="1" applyFont="1" applyFill="1" applyBorder="1"/>
    <xf numFmtId="167" fontId="0" fillId="7" borderId="0" xfId="10" applyNumberFormat="1" applyFont="1" applyFill="1" applyBorder="1"/>
    <xf numFmtId="167" fontId="0" fillId="7" borderId="27" xfId="10" applyNumberFormat="1" applyFont="1" applyFill="1" applyBorder="1"/>
    <xf numFmtId="167" fontId="11" fillId="7" borderId="5" xfId="8" applyNumberFormat="1" applyFont="1" applyFill="1" applyBorder="1" applyAlignment="1">
      <alignment horizontal="right"/>
    </xf>
    <xf numFmtId="167" fontId="0" fillId="7" borderId="0" xfId="10" applyNumberFormat="1" applyFont="1" applyFill="1" applyBorder="1" applyAlignment="1">
      <alignment horizontal="right"/>
    </xf>
    <xf numFmtId="167" fontId="11" fillId="7" borderId="0" xfId="10" applyNumberFormat="1" applyFont="1" applyFill="1" applyBorder="1" applyAlignment="1">
      <alignment horizontal="right"/>
    </xf>
    <xf numFmtId="44" fontId="2" fillId="7" borderId="5" xfId="0" applyNumberFormat="1" applyFont="1" applyFill="1" applyBorder="1"/>
    <xf numFmtId="44" fontId="2" fillId="7" borderId="0" xfId="0" applyNumberFormat="1" applyFont="1" applyFill="1" applyBorder="1"/>
    <xf numFmtId="0" fontId="0" fillId="7" borderId="27" xfId="0" applyFill="1" applyBorder="1"/>
    <xf numFmtId="179" fontId="2" fillId="0" borderId="3" xfId="0" applyNumberFormat="1" applyFont="1" applyFill="1" applyBorder="1" applyAlignment="1">
      <alignment horizontal="right"/>
    </xf>
    <xf numFmtId="167" fontId="11" fillId="7" borderId="32" xfId="8" applyNumberFormat="1" applyFont="1" applyFill="1" applyBorder="1"/>
    <xf numFmtId="167" fontId="11" fillId="7" borderId="33" xfId="8" applyNumberFormat="1" applyFont="1" applyFill="1" applyBorder="1"/>
    <xf numFmtId="167" fontId="11" fillId="7" borderId="33" xfId="10" applyNumberFormat="1" applyFont="1" applyFill="1" applyBorder="1"/>
    <xf numFmtId="167" fontId="0" fillId="7" borderId="33" xfId="10" applyNumberFormat="1" applyFont="1" applyFill="1" applyBorder="1"/>
    <xf numFmtId="167" fontId="0" fillId="7" borderId="34" xfId="10" applyNumberFormat="1" applyFont="1" applyFill="1" applyBorder="1"/>
    <xf numFmtId="0" fontId="41" fillId="0" borderId="0" xfId="0" applyFont="1" applyAlignment="1">
      <alignment vertical="top"/>
    </xf>
    <xf numFmtId="0" fontId="0" fillId="0" borderId="0" xfId="0" applyNumberFormat="1" applyFill="1" applyBorder="1"/>
    <xf numFmtId="168" fontId="0" fillId="0" borderId="0" xfId="10" applyNumberFormat="1" applyFont="1"/>
    <xf numFmtId="180" fontId="0" fillId="0" borderId="0" xfId="0" applyNumberFormat="1"/>
    <xf numFmtId="0" fontId="11" fillId="0" borderId="0" xfId="0" applyFont="1" applyFill="1" applyBorder="1"/>
    <xf numFmtId="166" fontId="29" fillId="0" borderId="0" xfId="0" applyNumberFormat="1" applyFont="1" applyFill="1" applyBorder="1"/>
    <xf numFmtId="43" fontId="0" fillId="0" borderId="0" xfId="0" applyNumberFormat="1" applyFill="1" applyBorder="1"/>
    <xf numFmtId="0" fontId="10" fillId="0" borderId="0" xfId="0" applyFont="1" applyFill="1" applyBorder="1"/>
    <xf numFmtId="166" fontId="27" fillId="0" borderId="0" xfId="0" applyNumberFormat="1" applyFont="1" applyFill="1" applyBorder="1"/>
    <xf numFmtId="170" fontId="2" fillId="0" borderId="0" xfId="11" applyNumberFormat="1" applyFont="1" applyFill="1" applyBorder="1"/>
    <xf numFmtId="170" fontId="0" fillId="0" borderId="0" xfId="0" applyNumberFormat="1" applyFill="1" applyBorder="1"/>
    <xf numFmtId="0" fontId="42" fillId="0" borderId="0" xfId="0" applyFont="1"/>
    <xf numFmtId="170" fontId="42" fillId="0" borderId="0" xfId="11" applyNumberFormat="1" applyFont="1"/>
    <xf numFmtId="0" fontId="46" fillId="9" borderId="8" xfId="0" applyFont="1" applyFill="1" applyBorder="1" applyAlignment="1">
      <alignment horizontal="center"/>
    </xf>
    <xf numFmtId="0" fontId="42" fillId="0" borderId="0" xfId="0" applyFont="1" applyAlignment="1">
      <alignment horizontal="center"/>
    </xf>
    <xf numFmtId="183" fontId="47" fillId="12" borderId="0" xfId="0" applyNumberFormat="1" applyFont="1" applyFill="1"/>
    <xf numFmtId="179" fontId="42" fillId="0" borderId="0" xfId="14" applyNumberFormat="1" applyFont="1"/>
    <xf numFmtId="170" fontId="42" fillId="0" borderId="0" xfId="0" applyNumberFormat="1" applyFont="1"/>
    <xf numFmtId="175" fontId="42" fillId="0" borderId="0" xfId="0" applyNumberFormat="1" applyFont="1"/>
    <xf numFmtId="183" fontId="42" fillId="12" borderId="0" xfId="0" applyNumberFormat="1" applyFont="1" applyFill="1"/>
    <xf numFmtId="0" fontId="42" fillId="0" borderId="8" xfId="0" applyFont="1" applyBorder="1"/>
    <xf numFmtId="179" fontId="42" fillId="0" borderId="8" xfId="14" applyNumberFormat="1" applyFont="1" applyBorder="1"/>
    <xf numFmtId="170" fontId="42" fillId="0" borderId="8" xfId="0" applyNumberFormat="1" applyFont="1" applyBorder="1"/>
    <xf numFmtId="175" fontId="42" fillId="0" borderId="8" xfId="0" applyNumberFormat="1" applyFont="1" applyBorder="1"/>
    <xf numFmtId="0" fontId="45" fillId="9" borderId="35" xfId="0" applyFont="1" applyFill="1" applyBorder="1"/>
    <xf numFmtId="0" fontId="42" fillId="9" borderId="1" xfId="0" applyFont="1" applyFill="1" applyBorder="1"/>
    <xf numFmtId="43" fontId="45" fillId="9" borderId="36" xfId="0" applyNumberFormat="1" applyFont="1" applyFill="1" applyBorder="1"/>
    <xf numFmtId="179" fontId="42" fillId="0" borderId="0" xfId="0" applyNumberFormat="1" applyFont="1"/>
    <xf numFmtId="0" fontId="45" fillId="0" borderId="31" xfId="0" applyFont="1" applyBorder="1"/>
    <xf numFmtId="179" fontId="45" fillId="0" borderId="28" xfId="0" applyNumberFormat="1" applyFont="1" applyBorder="1"/>
    <xf numFmtId="9" fontId="42" fillId="0" borderId="0" xfId="10" applyFont="1"/>
    <xf numFmtId="0" fontId="42" fillId="0" borderId="0" xfId="0" applyFont="1" applyAlignment="1">
      <alignment horizontal="right"/>
    </xf>
    <xf numFmtId="168" fontId="47" fillId="12" borderId="0" xfId="10" applyNumberFormat="1" applyFont="1" applyFill="1" applyAlignment="1">
      <alignment horizontal="left"/>
    </xf>
    <xf numFmtId="0" fontId="48" fillId="0" borderId="0" xfId="15" applyFont="1"/>
    <xf numFmtId="0" fontId="50" fillId="11" borderId="0" xfId="0" applyFont="1" applyFill="1"/>
    <xf numFmtId="0" fontId="51" fillId="11" borderId="0" xfId="0" applyFont="1" applyFill="1" applyAlignment="1">
      <alignment horizontal="center"/>
    </xf>
    <xf numFmtId="0" fontId="52" fillId="0" borderId="0" xfId="0" applyFont="1"/>
    <xf numFmtId="176" fontId="0" fillId="0" borderId="8" xfId="0" applyNumberFormat="1" applyFill="1" applyBorder="1"/>
    <xf numFmtId="176" fontId="0" fillId="6" borderId="43" xfId="0" applyNumberFormat="1" applyFill="1" applyBorder="1"/>
    <xf numFmtId="176" fontId="0" fillId="6" borderId="7" xfId="0" applyNumberFormat="1" applyFill="1" applyBorder="1"/>
    <xf numFmtId="176" fontId="0" fillId="6" borderId="44" xfId="0" applyNumberFormat="1" applyFill="1" applyBorder="1"/>
    <xf numFmtId="0" fontId="53" fillId="0" borderId="0" xfId="0" applyFont="1"/>
    <xf numFmtId="43" fontId="53" fillId="0" borderId="0" xfId="14" applyFont="1"/>
    <xf numFmtId="172" fontId="40" fillId="9" borderId="23" xfId="10" applyNumberFormat="1" applyFont="1" applyFill="1" applyBorder="1"/>
    <xf numFmtId="172" fontId="40" fillId="9" borderId="5" xfId="10" applyNumberFormat="1" applyFont="1" applyFill="1" applyBorder="1"/>
    <xf numFmtId="172" fontId="40" fillId="9" borderId="24" xfId="10" applyNumberFormat="1" applyFont="1" applyFill="1" applyBorder="1"/>
    <xf numFmtId="41" fontId="45" fillId="0" borderId="0" xfId="0" applyNumberFormat="1" applyFont="1"/>
    <xf numFmtId="0" fontId="55" fillId="2" borderId="0" xfId="0" applyFont="1" applyFill="1"/>
    <xf numFmtId="0" fontId="57" fillId="2" borderId="0" xfId="0" applyFont="1" applyFill="1"/>
    <xf numFmtId="0" fontId="54" fillId="2" borderId="0" xfId="0" applyFont="1" applyFill="1" applyAlignment="1">
      <alignment horizontal="right"/>
    </xf>
    <xf numFmtId="0" fontId="54" fillId="2" borderId="0" xfId="0" applyFont="1" applyFill="1" applyAlignment="1">
      <alignment horizontal="center"/>
    </xf>
    <xf numFmtId="0" fontId="58" fillId="2" borderId="0" xfId="0" applyFont="1" applyFill="1"/>
    <xf numFmtId="0" fontId="59" fillId="0" borderId="0" xfId="0" applyFont="1" applyBorder="1" applyAlignment="1"/>
    <xf numFmtId="181" fontId="61" fillId="9" borderId="8" xfId="0" applyNumberFormat="1" applyFont="1" applyFill="1" applyBorder="1"/>
    <xf numFmtId="0" fontId="62" fillId="0" borderId="0" xfId="0" applyFont="1" applyAlignment="1">
      <alignment horizontal="center"/>
    </xf>
    <xf numFmtId="182" fontId="62" fillId="0" borderId="0" xfId="14" applyNumberFormat="1" applyFont="1"/>
    <xf numFmtId="0" fontId="62" fillId="0" borderId="0" xfId="0" applyFont="1" applyAlignment="1">
      <alignment horizontal="left"/>
    </xf>
    <xf numFmtId="176" fontId="62" fillId="0" borderId="0" xfId="0" applyNumberFormat="1" applyFont="1"/>
    <xf numFmtId="0" fontId="62" fillId="0" borderId="0" xfId="0" applyFont="1"/>
    <xf numFmtId="176" fontId="63" fillId="12" borderId="0" xfId="0" applyNumberFormat="1" applyFont="1" applyFill="1"/>
    <xf numFmtId="0" fontId="61" fillId="0" borderId="0" xfId="0" applyFont="1"/>
    <xf numFmtId="43" fontId="61" fillId="0" borderId="0" xfId="0" applyNumberFormat="1" applyFont="1"/>
    <xf numFmtId="0" fontId="62" fillId="0" borderId="8" xfId="0" applyFont="1" applyBorder="1"/>
    <xf numFmtId="2" fontId="62" fillId="0" borderId="8" xfId="0" applyNumberFormat="1" applyFont="1" applyBorder="1"/>
    <xf numFmtId="43" fontId="62" fillId="0" borderId="0" xfId="0" applyNumberFormat="1" applyFont="1"/>
    <xf numFmtId="166" fontId="64" fillId="12" borderId="0" xfId="0" applyNumberFormat="1" applyFont="1" applyFill="1"/>
    <xf numFmtId="166" fontId="63" fillId="12" borderId="8" xfId="0" applyNumberFormat="1" applyFont="1" applyFill="1" applyBorder="1"/>
    <xf numFmtId="0" fontId="61" fillId="9" borderId="35" xfId="0" applyFont="1" applyFill="1" applyBorder="1"/>
    <xf numFmtId="0" fontId="61" fillId="9" borderId="1" xfId="0" applyFont="1" applyFill="1" applyBorder="1"/>
    <xf numFmtId="170" fontId="61" fillId="9" borderId="36" xfId="11" applyNumberFormat="1" applyFont="1" applyFill="1" applyBorder="1"/>
    <xf numFmtId="181" fontId="2" fillId="0" borderId="1" xfId="0" applyNumberFormat="1" applyFont="1" applyFill="1" applyBorder="1" applyAlignment="1">
      <alignment horizontal="right"/>
    </xf>
    <xf numFmtId="0" fontId="65" fillId="11" borderId="0" xfId="16" applyFont="1" applyFill="1" applyAlignment="1">
      <alignment horizontal="center" wrapText="1"/>
    </xf>
    <xf numFmtId="0" fontId="66" fillId="0" borderId="37" xfId="0" applyFont="1" applyBorder="1"/>
    <xf numFmtId="0" fontId="66" fillId="0" borderId="5" xfId="0" applyFont="1" applyBorder="1" applyAlignment="1">
      <alignment horizontal="center"/>
    </xf>
    <xf numFmtId="184" fontId="66" fillId="0" borderId="5" xfId="14" applyNumberFormat="1" applyFont="1" applyBorder="1" applyAlignment="1">
      <alignment horizontal="center"/>
    </xf>
    <xf numFmtId="176" fontId="66" fillId="0" borderId="38" xfId="0" applyNumberFormat="1" applyFont="1" applyBorder="1" applyAlignment="1">
      <alignment horizontal="center"/>
    </xf>
    <xf numFmtId="0" fontId="66" fillId="9" borderId="6" xfId="0" applyFont="1" applyFill="1" applyBorder="1"/>
    <xf numFmtId="0" fontId="66" fillId="9" borderId="0" xfId="0" applyFont="1" applyFill="1" applyAlignment="1">
      <alignment horizontal="center"/>
    </xf>
    <xf numFmtId="184" fontId="66" fillId="9" borderId="0" xfId="14" applyNumberFormat="1" applyFont="1" applyFill="1" applyAlignment="1">
      <alignment horizontal="center"/>
    </xf>
    <xf numFmtId="176" fontId="66" fillId="9" borderId="14" xfId="14" applyNumberFormat="1" applyFont="1" applyFill="1" applyBorder="1" applyAlignment="1">
      <alignment horizontal="center" vertical="center"/>
    </xf>
    <xf numFmtId="0" fontId="66" fillId="0" borderId="6" xfId="0" applyFont="1" applyBorder="1"/>
    <xf numFmtId="0" fontId="66" fillId="0" borderId="0" xfId="0" applyFont="1" applyAlignment="1">
      <alignment horizontal="center"/>
    </xf>
    <xf numFmtId="184" fontId="66" fillId="0" borderId="0" xfId="0" applyNumberFormat="1" applyFont="1" applyAlignment="1">
      <alignment horizontal="center"/>
    </xf>
    <xf numFmtId="176" fontId="66" fillId="0" borderId="14" xfId="0" applyNumberFormat="1" applyFont="1" applyBorder="1" applyAlignment="1">
      <alignment horizontal="center"/>
    </xf>
    <xf numFmtId="0" fontId="66" fillId="9" borderId="39" xfId="0" applyFont="1" applyFill="1" applyBorder="1"/>
    <xf numFmtId="0" fontId="66" fillId="9" borderId="27" xfId="0" applyFont="1" applyFill="1" applyBorder="1" applyAlignment="1">
      <alignment horizontal="center"/>
    </xf>
    <xf numFmtId="184" fontId="66" fillId="9" borderId="27" xfId="0" applyNumberFormat="1" applyFont="1" applyFill="1" applyBorder="1" applyAlignment="1">
      <alignment horizontal="center"/>
    </xf>
    <xf numFmtId="176" fontId="66" fillId="9" borderId="40" xfId="0" applyNumberFormat="1" applyFont="1" applyFill="1" applyBorder="1" applyAlignment="1">
      <alignment horizontal="center"/>
    </xf>
    <xf numFmtId="0" fontId="49" fillId="0" borderId="35" xfId="0" applyFont="1" applyBorder="1"/>
    <xf numFmtId="0" fontId="49" fillId="0" borderId="1" xfId="0" applyFont="1" applyBorder="1" applyAlignment="1">
      <alignment horizontal="center"/>
    </xf>
    <xf numFmtId="184" fontId="49" fillId="0" borderId="1" xfId="14" applyNumberFormat="1" applyFont="1" applyBorder="1" applyAlignment="1">
      <alignment horizontal="center"/>
    </xf>
    <xf numFmtId="176" fontId="49" fillId="0" borderId="36" xfId="14" applyNumberFormat="1" applyFont="1" applyBorder="1" applyAlignment="1">
      <alignment horizontal="center"/>
    </xf>
    <xf numFmtId="0" fontId="66" fillId="14" borderId="37" xfId="0" applyFont="1" applyFill="1" applyBorder="1"/>
    <xf numFmtId="0" fontId="66" fillId="9" borderId="5" xfId="0" applyFont="1" applyFill="1" applyBorder="1" applyAlignment="1">
      <alignment horizontal="center"/>
    </xf>
    <xf numFmtId="184" fontId="66" fillId="9" borderId="5" xfId="14" applyNumberFormat="1" applyFont="1" applyFill="1" applyBorder="1" applyAlignment="1">
      <alignment horizontal="center"/>
    </xf>
    <xf numFmtId="176" fontId="66" fillId="9" borderId="38" xfId="0" applyNumberFormat="1" applyFont="1" applyFill="1" applyBorder="1" applyAlignment="1">
      <alignment horizontal="center"/>
    </xf>
    <xf numFmtId="184" fontId="66" fillId="0" borderId="0" xfId="14" applyNumberFormat="1" applyFont="1" applyAlignment="1">
      <alignment horizontal="center"/>
    </xf>
    <xf numFmtId="176" fontId="66" fillId="9" borderId="14" xfId="0" applyNumberFormat="1" applyFont="1" applyFill="1" applyBorder="1" applyAlignment="1">
      <alignment horizontal="center"/>
    </xf>
    <xf numFmtId="184" fontId="66" fillId="9" borderId="27" xfId="14" applyNumberFormat="1" applyFont="1" applyFill="1" applyBorder="1" applyAlignment="1">
      <alignment horizontal="center"/>
    </xf>
    <xf numFmtId="0" fontId="66" fillId="9" borderId="41" xfId="0" applyFont="1" applyFill="1" applyBorder="1"/>
    <xf numFmtId="0" fontId="66" fillId="9" borderId="1" xfId="0" applyFont="1" applyFill="1" applyBorder="1" applyAlignment="1">
      <alignment horizontal="center"/>
    </xf>
    <xf numFmtId="184" fontId="66" fillId="9" borderId="1" xfId="0" applyNumberFormat="1" applyFont="1" applyFill="1" applyBorder="1" applyAlignment="1">
      <alignment horizontal="center"/>
    </xf>
    <xf numFmtId="176" fontId="66" fillId="9" borderId="42" xfId="0" applyNumberFormat="1" applyFont="1" applyFill="1" applyBorder="1" applyAlignment="1">
      <alignment horizontal="center"/>
    </xf>
    <xf numFmtId="0" fontId="49" fillId="13" borderId="35" xfId="0" applyFont="1" applyFill="1" applyBorder="1"/>
    <xf numFmtId="0" fontId="49" fillId="13" borderId="1" xfId="0" applyFont="1" applyFill="1" applyBorder="1" applyAlignment="1">
      <alignment horizontal="center"/>
    </xf>
    <xf numFmtId="184" fontId="49" fillId="13" borderId="1" xfId="0" applyNumberFormat="1" applyFont="1" applyFill="1" applyBorder="1" applyAlignment="1">
      <alignment horizontal="center"/>
    </xf>
    <xf numFmtId="176" fontId="49" fillId="13" borderId="36" xfId="0" applyNumberFormat="1" applyFont="1" applyFill="1" applyBorder="1" applyAlignment="1">
      <alignment horizontal="center"/>
    </xf>
    <xf numFmtId="0" fontId="56" fillId="0" borderId="24" xfId="0" applyFont="1" applyFill="1" applyBorder="1" applyAlignment="1">
      <alignment horizontal="center" vertical="center" wrapText="1"/>
    </xf>
    <xf numFmtId="0" fontId="55" fillId="0" borderId="30" xfId="0" applyFont="1" applyBorder="1" applyAlignment="1">
      <alignment horizontal="center" vertical="center"/>
    </xf>
    <xf numFmtId="170" fontId="55" fillId="0" borderId="0" xfId="11" applyNumberFormat="1" applyFont="1" applyBorder="1" applyAlignment="1">
      <alignment horizontal="center" vertical="center"/>
    </xf>
    <xf numFmtId="170" fontId="55" fillId="0" borderId="0" xfId="0" applyNumberFormat="1" applyFont="1" applyBorder="1" applyAlignment="1">
      <alignment horizontal="center" vertical="center"/>
    </xf>
    <xf numFmtId="170" fontId="56" fillId="0" borderId="0" xfId="0" applyNumberFormat="1" applyFont="1" applyBorder="1" applyAlignment="1">
      <alignment horizontal="center" vertical="center"/>
    </xf>
    <xf numFmtId="168" fontId="55" fillId="0" borderId="25" xfId="10" applyNumberFormat="1" applyFont="1" applyBorder="1" applyAlignment="1">
      <alignment horizontal="center" vertical="center"/>
    </xf>
    <xf numFmtId="0" fontId="55" fillId="7" borderId="30" xfId="0" applyFont="1" applyFill="1" applyBorder="1" applyAlignment="1">
      <alignment horizontal="center" vertical="center"/>
    </xf>
    <xf numFmtId="170" fontId="55" fillId="7" borderId="0" xfId="11" applyNumberFormat="1" applyFont="1" applyFill="1" applyBorder="1" applyAlignment="1">
      <alignment horizontal="center" vertical="center"/>
    </xf>
    <xf numFmtId="170" fontId="55" fillId="7" borderId="0" xfId="0" applyNumberFormat="1" applyFont="1" applyFill="1" applyBorder="1" applyAlignment="1">
      <alignment horizontal="center" vertical="center"/>
    </xf>
    <xf numFmtId="170" fontId="56" fillId="7" borderId="0" xfId="0" applyNumberFormat="1" applyFont="1" applyFill="1" applyBorder="1" applyAlignment="1">
      <alignment horizontal="center" vertical="center"/>
    </xf>
    <xf numFmtId="168" fontId="55" fillId="7" borderId="25" xfId="10" applyNumberFormat="1" applyFont="1" applyFill="1" applyBorder="1" applyAlignment="1">
      <alignment horizontal="center" vertical="center"/>
    </xf>
    <xf numFmtId="0" fontId="55" fillId="7" borderId="31" xfId="0" applyFont="1" applyFill="1" applyBorder="1" applyAlignment="1">
      <alignment horizontal="center" vertical="center"/>
    </xf>
    <xf numFmtId="170" fontId="55" fillId="7" borderId="27" xfId="11" applyNumberFormat="1" applyFont="1" applyFill="1" applyBorder="1" applyAlignment="1">
      <alignment horizontal="center" vertical="center"/>
    </xf>
    <xf numFmtId="170" fontId="55" fillId="7" borderId="27" xfId="0" applyNumberFormat="1" applyFont="1" applyFill="1" applyBorder="1" applyAlignment="1">
      <alignment horizontal="center" vertical="center"/>
    </xf>
    <xf numFmtId="170" fontId="56" fillId="7" borderId="27" xfId="0" applyNumberFormat="1" applyFont="1" applyFill="1" applyBorder="1" applyAlignment="1">
      <alignment horizontal="center" vertical="center"/>
    </xf>
    <xf numFmtId="168" fontId="55" fillId="7" borderId="28" xfId="10" applyNumberFormat="1" applyFont="1" applyFill="1" applyBorder="1" applyAlignment="1">
      <alignment horizontal="center" vertical="center"/>
    </xf>
    <xf numFmtId="0" fontId="56" fillId="0" borderId="46" xfId="0" quotePrefix="1" applyFont="1" applyFill="1" applyBorder="1" applyAlignment="1">
      <alignment horizontal="center" vertical="center" wrapText="1"/>
    </xf>
    <xf numFmtId="0" fontId="37" fillId="0" borderId="0" xfId="0" applyFont="1" applyFill="1"/>
    <xf numFmtId="0" fontId="1" fillId="0" borderId="0" xfId="0" applyFont="1" applyFill="1"/>
    <xf numFmtId="0" fontId="38" fillId="6" borderId="0" xfId="0" applyNumberFormat="1" applyFont="1" applyFill="1" applyAlignment="1">
      <alignment horizontal="center" vertical="center"/>
    </xf>
    <xf numFmtId="0" fontId="68" fillId="0" borderId="0" xfId="0" applyFont="1" applyFill="1" applyAlignment="1">
      <alignment horizontal="right"/>
    </xf>
    <xf numFmtId="0" fontId="68" fillId="0" borderId="0" xfId="0" applyFont="1" applyFill="1" applyAlignment="1">
      <alignment horizontal="center"/>
    </xf>
    <xf numFmtId="0" fontId="37" fillId="0" borderId="0" xfId="0" applyFont="1"/>
    <xf numFmtId="0" fontId="1" fillId="0" borderId="0" xfId="0" applyFont="1"/>
    <xf numFmtId="0" fontId="1" fillId="5" borderId="8" xfId="0" applyFont="1" applyFill="1" applyBorder="1"/>
    <xf numFmtId="0" fontId="37" fillId="5" borderId="8" xfId="0" applyFont="1" applyFill="1" applyBorder="1" applyAlignment="1">
      <alignment horizontal="center"/>
    </xf>
    <xf numFmtId="0" fontId="37" fillId="0" borderId="0" xfId="0" applyFont="1" applyAlignment="1">
      <alignment horizontal="center"/>
    </xf>
    <xf numFmtId="0" fontId="37" fillId="0" borderId="3" xfId="0" applyFont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37" fillId="0" borderId="8" xfId="0" applyFont="1" applyBorder="1" applyAlignment="1">
      <alignment horizontal="center"/>
    </xf>
    <xf numFmtId="0" fontId="38" fillId="6" borderId="8" xfId="0" applyFont="1" applyFill="1" applyBorder="1" applyAlignment="1">
      <alignment horizontal="center"/>
    </xf>
    <xf numFmtId="0" fontId="38" fillId="6" borderId="0" xfId="0" applyFont="1" applyFill="1" applyAlignment="1">
      <alignment horizontal="center"/>
    </xf>
    <xf numFmtId="0" fontId="38" fillId="0" borderId="0" xfId="0" applyFont="1" applyFill="1" applyAlignment="1">
      <alignment horizontal="center"/>
    </xf>
    <xf numFmtId="0" fontId="38" fillId="0" borderId="3" xfId="0" applyFont="1" applyFill="1" applyBorder="1" applyAlignment="1">
      <alignment horizontal="center"/>
    </xf>
    <xf numFmtId="0" fontId="37" fillId="0" borderId="8" xfId="0" applyFont="1" applyFill="1" applyBorder="1" applyAlignment="1">
      <alignment horizontal="center"/>
    </xf>
    <xf numFmtId="0" fontId="1" fillId="0" borderId="3" xfId="0" applyFont="1" applyBorder="1"/>
    <xf numFmtId="0" fontId="1" fillId="0" borderId="0" xfId="0" applyFont="1" applyBorder="1"/>
    <xf numFmtId="173" fontId="38" fillId="6" borderId="0" xfId="0" applyNumberFormat="1" applyFont="1" applyFill="1"/>
    <xf numFmtId="168" fontId="1" fillId="0" borderId="0" xfId="10" applyNumberFormat="1" applyFont="1" applyBorder="1" applyAlignment="1">
      <alignment horizontal="center"/>
    </xf>
    <xf numFmtId="168" fontId="1" fillId="0" borderId="0" xfId="10" applyNumberFormat="1" applyFont="1" applyBorder="1"/>
    <xf numFmtId="168" fontId="1" fillId="0" borderId="3" xfId="10" applyNumberFormat="1" applyFont="1" applyBorder="1"/>
    <xf numFmtId="173" fontId="37" fillId="0" borderId="0" xfId="0" applyNumberFormat="1" applyFont="1" applyFill="1" applyBorder="1"/>
    <xf numFmtId="173" fontId="37" fillId="0" borderId="0" xfId="0" applyNumberFormat="1" applyFont="1" applyFill="1"/>
    <xf numFmtId="0" fontId="69" fillId="0" borderId="0" xfId="0" applyFont="1" applyAlignment="1">
      <alignment horizontal="left" indent="1"/>
    </xf>
    <xf numFmtId="0" fontId="69" fillId="0" borderId="0" xfId="0" applyFont="1"/>
    <xf numFmtId="0" fontId="69" fillId="0" borderId="0" xfId="0" applyFont="1" applyAlignment="1">
      <alignment horizontal="right"/>
    </xf>
    <xf numFmtId="167" fontId="69" fillId="0" borderId="0" xfId="10" applyNumberFormat="1" applyFont="1"/>
    <xf numFmtId="167" fontId="69" fillId="0" borderId="0" xfId="10" applyNumberFormat="1" applyFont="1" applyBorder="1" applyAlignment="1">
      <alignment horizontal="center"/>
    </xf>
    <xf numFmtId="167" fontId="69" fillId="0" borderId="0" xfId="10" applyNumberFormat="1" applyFont="1" applyBorder="1"/>
    <xf numFmtId="167" fontId="69" fillId="0" borderId="3" xfId="10" applyNumberFormat="1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73" fontId="70" fillId="6" borderId="8" xfId="0" applyNumberFormat="1" applyFont="1" applyFill="1" applyBorder="1"/>
    <xf numFmtId="0" fontId="1" fillId="0" borderId="0" xfId="0" applyFont="1" applyBorder="1" applyAlignment="1">
      <alignment horizontal="center"/>
    </xf>
    <xf numFmtId="173" fontId="1" fillId="0" borderId="8" xfId="0" applyNumberFormat="1" applyFont="1" applyFill="1" applyBorder="1"/>
    <xf numFmtId="173" fontId="37" fillId="0" borderId="0" xfId="0" applyNumberFormat="1" applyFont="1"/>
    <xf numFmtId="173" fontId="37" fillId="0" borderId="0" xfId="0" applyNumberFormat="1" applyFont="1" applyBorder="1"/>
    <xf numFmtId="167" fontId="69" fillId="0" borderId="0" xfId="0" applyNumberFormat="1" applyFont="1"/>
    <xf numFmtId="167" fontId="69" fillId="0" borderId="0" xfId="0" applyNumberFormat="1" applyFont="1" applyBorder="1" applyAlignment="1">
      <alignment horizontal="center"/>
    </xf>
    <xf numFmtId="167" fontId="69" fillId="0" borderId="0" xfId="0" applyNumberFormat="1" applyFont="1" applyBorder="1"/>
    <xf numFmtId="167" fontId="69" fillId="0" borderId="3" xfId="0" applyNumberFormat="1" applyFont="1" applyBorder="1"/>
    <xf numFmtId="166" fontId="1" fillId="0" borderId="8" xfId="0" applyNumberFormat="1" applyFont="1" applyFill="1" applyBorder="1"/>
    <xf numFmtId="166" fontId="1" fillId="0" borderId="8" xfId="0" applyNumberFormat="1" applyFont="1" applyBorder="1"/>
    <xf numFmtId="173" fontId="1" fillId="0" borderId="0" xfId="0" applyNumberFormat="1" applyFont="1"/>
    <xf numFmtId="166" fontId="1" fillId="0" borderId="0" xfId="0" applyNumberFormat="1" applyFont="1" applyBorder="1"/>
    <xf numFmtId="166" fontId="1" fillId="0" borderId="3" xfId="0" applyNumberFormat="1" applyFont="1" applyBorder="1"/>
    <xf numFmtId="173" fontId="1" fillId="0" borderId="0" xfId="0" applyNumberFormat="1" applyFont="1" applyBorder="1"/>
    <xf numFmtId="173" fontId="70" fillId="6" borderId="0" xfId="0" applyNumberFormat="1" applyFont="1" applyFill="1"/>
    <xf numFmtId="173" fontId="1" fillId="0" borderId="0" xfId="0" applyNumberFormat="1" applyFont="1" applyFill="1" applyBorder="1"/>
    <xf numFmtId="173" fontId="1" fillId="0" borderId="0" xfId="0" applyNumberFormat="1" applyFont="1" applyFill="1"/>
    <xf numFmtId="0" fontId="1" fillId="0" borderId="0" xfId="0" applyFont="1" applyBorder="1" applyAlignment="1">
      <alignment horizontal="right"/>
    </xf>
    <xf numFmtId="0" fontId="1" fillId="0" borderId="4" xfId="0" applyFont="1" applyBorder="1"/>
    <xf numFmtId="173" fontId="1" fillId="0" borderId="8" xfId="0" applyNumberFormat="1" applyFont="1" applyBorder="1"/>
    <xf numFmtId="167" fontId="1" fillId="0" borderId="0" xfId="0" applyNumberFormat="1" applyFont="1"/>
    <xf numFmtId="168" fontId="70" fillId="6" borderId="0" xfId="10" applyNumberFormat="1" applyFont="1" applyFill="1"/>
    <xf numFmtId="2" fontId="1" fillId="0" borderId="0" xfId="0" applyNumberFormat="1" applyFont="1" applyBorder="1"/>
    <xf numFmtId="2" fontId="1" fillId="0" borderId="0" xfId="0" applyNumberFormat="1" applyFont="1"/>
    <xf numFmtId="0" fontId="37" fillId="7" borderId="0" xfId="0" applyFont="1" applyFill="1"/>
    <xf numFmtId="0" fontId="1" fillId="7" borderId="0" xfId="0" applyFont="1" applyFill="1"/>
    <xf numFmtId="0" fontId="1" fillId="7" borderId="0" xfId="0" applyFont="1" applyFill="1" applyBorder="1"/>
    <xf numFmtId="173" fontId="37" fillId="7" borderId="0" xfId="0" applyNumberFormat="1" applyFont="1" applyFill="1"/>
    <xf numFmtId="0" fontId="71" fillId="2" borderId="0" xfId="0" applyFont="1" applyFill="1" applyAlignment="1">
      <alignment horizontal="left" vertical="center"/>
    </xf>
    <xf numFmtId="0" fontId="72" fillId="2" borderId="0" xfId="0" applyFont="1" applyFill="1" applyAlignment="1">
      <alignment horizontal="right" vertical="center"/>
    </xf>
    <xf numFmtId="170" fontId="73" fillId="2" borderId="0" xfId="0" applyNumberFormat="1" applyFont="1" applyFill="1" applyAlignment="1">
      <alignment horizontal="center" vertical="center"/>
    </xf>
    <xf numFmtId="0" fontId="56" fillId="0" borderId="5" xfId="0" applyFont="1" applyBorder="1" applyAlignment="1">
      <alignment horizontal="center" wrapText="1"/>
    </xf>
    <xf numFmtId="0" fontId="56" fillId="0" borderId="8" xfId="0" applyFont="1" applyBorder="1" applyAlignment="1">
      <alignment horizontal="center" wrapText="1"/>
    </xf>
    <xf numFmtId="0" fontId="56" fillId="0" borderId="5" xfId="0" applyFont="1" applyBorder="1" applyAlignment="1">
      <alignment horizontal="center" vertical="center" wrapText="1"/>
    </xf>
    <xf numFmtId="0" fontId="56" fillId="0" borderId="8" xfId="0" applyFont="1" applyBorder="1" applyAlignment="1">
      <alignment horizontal="center" vertical="center" wrapText="1"/>
    </xf>
    <xf numFmtId="0" fontId="54" fillId="2" borderId="35" xfId="0" applyFont="1" applyFill="1" applyBorder="1" applyAlignment="1">
      <alignment horizontal="center"/>
    </xf>
    <xf numFmtId="0" fontId="54" fillId="2" borderId="1" xfId="0" applyFont="1" applyFill="1" applyBorder="1" applyAlignment="1">
      <alignment horizontal="center"/>
    </xf>
    <xf numFmtId="0" fontId="54" fillId="2" borderId="36" xfId="0" applyFont="1" applyFill="1" applyBorder="1" applyAlignment="1">
      <alignment horizontal="center"/>
    </xf>
    <xf numFmtId="0" fontId="56" fillId="0" borderId="29" xfId="0" applyFont="1" applyBorder="1" applyAlignment="1">
      <alignment horizontal="center" wrapText="1"/>
    </xf>
    <xf numFmtId="0" fontId="56" fillId="0" borderId="45" xfId="0" applyFont="1" applyBorder="1" applyAlignment="1">
      <alignment horizontal="center" wrapText="1"/>
    </xf>
    <xf numFmtId="0" fontId="67" fillId="0" borderId="8" xfId="0" applyFont="1" applyBorder="1" applyAlignment="1">
      <alignment horizontal="center"/>
    </xf>
    <xf numFmtId="0" fontId="60" fillId="11" borderId="8" xfId="0" applyFont="1" applyFill="1" applyBorder="1" applyAlignment="1">
      <alignment horizontal="center"/>
    </xf>
    <xf numFmtId="0" fontId="45" fillId="0" borderId="8" xfId="0" applyFont="1" applyBorder="1" applyAlignment="1">
      <alignment horizontal="center"/>
    </xf>
    <xf numFmtId="0" fontId="45" fillId="0" borderId="0" xfId="0" applyFont="1" applyAlignment="1">
      <alignment horizontal="center" wrapText="1"/>
    </xf>
    <xf numFmtId="0" fontId="45" fillId="0" borderId="8" xfId="0" applyFont="1" applyBorder="1" applyAlignment="1">
      <alignment horizontal="center" wrapText="1"/>
    </xf>
    <xf numFmtId="0" fontId="2" fillId="0" borderId="0" xfId="0" applyFont="1" applyAlignment="1">
      <alignment horizontal="right" vertical="center" textRotation="90"/>
    </xf>
    <xf numFmtId="0" fontId="28" fillId="2" borderId="0" xfId="0" applyFont="1" applyFill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right" vertical="center" textRotation="90" wrapText="1"/>
    </xf>
    <xf numFmtId="0" fontId="2" fillId="0" borderId="0" xfId="0" applyFont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</cellXfs>
  <cellStyles count="17">
    <cellStyle name="_x000a_386grabber=M" xfId="13" xr:uid="{0418DE53-1AEA-4735-A95A-06A802279D36}"/>
    <cellStyle name="AFE" xfId="9" xr:uid="{F5BDA27A-07D0-4F41-B63D-9480EAF6AE5B}"/>
    <cellStyle name="blp_column_header" xfId="16" xr:uid="{880FCB2C-0F73-9348-AA06-651398E6CFE3}"/>
    <cellStyle name="Comma" xfId="14" builtinId="3"/>
    <cellStyle name="Currency" xfId="11" builtinId="4"/>
    <cellStyle name="fa_data_bold_0_grouped" xfId="2" xr:uid="{53BCCA00-BA8A-4771-BB8A-ABAC57E47207}"/>
    <cellStyle name="fa_data_italic_0_grouped" xfId="6" xr:uid="{2EB46AB1-D7E8-432C-B11D-CB53ED950385}"/>
    <cellStyle name="fa_data_standard_0_grouped" xfId="4" xr:uid="{7C4548D8-FF48-495E-8CE8-4159F19179AE}"/>
    <cellStyle name="fa_data_standard_2_grouped" xfId="7" xr:uid="{AA147CF7-5123-4BFE-819F-B07F08990E0D}"/>
    <cellStyle name="fa_row_header_bold" xfId="1" xr:uid="{E3DD0958-ABED-495E-86FD-6E02BFA98205}"/>
    <cellStyle name="fa_row_header_italic" xfId="5" xr:uid="{BBB469CC-3F2F-4F1D-8B51-186D9A6AC583}"/>
    <cellStyle name="fa_row_header_standard" xfId="3" xr:uid="{9847DAAC-EB35-4A86-8A3D-158DFDF02808}"/>
    <cellStyle name="Good" xfId="8" builtinId="26"/>
    <cellStyle name="Hyperlink" xfId="15" builtinId="8"/>
    <cellStyle name="Normal" xfId="0" builtinId="0"/>
    <cellStyle name="Pctg" xfId="12" xr:uid="{40E280E4-7423-49BD-BA3B-93FE027DE991}"/>
    <cellStyle name="Percent" xfId="10" builtinId="5"/>
  </cellStyles>
  <dxfs count="0"/>
  <tableStyles count="0" defaultTableStyle="TableStyleMedium2" defaultPivotStyle="PivotStyleLight16"/>
  <colors>
    <mruColors>
      <color rgb="FFA50021"/>
      <color rgb="FF0000FF"/>
      <color rgb="FFFFFFCC"/>
      <color rgb="FFCCECFF"/>
      <color rgb="FF66FFFF"/>
      <color rgb="FF99CCFF"/>
      <color rgb="FF00FFFF"/>
      <color rgb="FFCCFFFF"/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228600</xdr:colOff>
      <xdr:row>11</xdr:row>
      <xdr:rowOff>12700</xdr:rowOff>
    </xdr:from>
    <xdr:to>
      <xdr:col>27</xdr:col>
      <xdr:colOff>38100</xdr:colOff>
      <xdr:row>30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D9E3B5-75B0-9744-95B9-5DE284910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39000" y="2438400"/>
          <a:ext cx="6413500" cy="453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9BD4-0BAA-4AF8-9CB3-0A4CEA779ED4}">
  <sheetPr>
    <pageSetUpPr autoPageBreaks="0"/>
  </sheetPr>
  <dimension ref="B1:V14"/>
  <sheetViews>
    <sheetView showGridLines="0" zoomScaleNormal="100" workbookViewId="0">
      <selection activeCell="F22" sqref="F22"/>
    </sheetView>
  </sheetViews>
  <sheetFormatPr baseColWidth="10" defaultColWidth="8.83203125" defaultRowHeight="15"/>
  <cols>
    <col min="1" max="1" width="0.83203125" customWidth="1"/>
    <col min="2" max="2" width="12.6640625" customWidth="1"/>
    <col min="3" max="8" width="11.33203125" customWidth="1"/>
    <col min="9" max="9" width="18.1640625" customWidth="1"/>
    <col min="10" max="10" width="12.6640625" customWidth="1"/>
    <col min="11" max="13" width="11.6640625" bestFit="1" customWidth="1"/>
    <col min="14" max="22" width="10.33203125" bestFit="1" customWidth="1"/>
  </cols>
  <sheetData>
    <row r="1" spans="2:22" ht="26">
      <c r="B1" s="2" t="s">
        <v>86</v>
      </c>
      <c r="C1" s="1"/>
      <c r="D1" s="1"/>
      <c r="E1" s="1"/>
      <c r="F1" s="1"/>
      <c r="G1" s="1"/>
      <c r="H1" s="1"/>
      <c r="I1" s="1"/>
      <c r="J1" s="1"/>
    </row>
    <row r="2" spans="2:22" ht="21">
      <c r="B2" s="3" t="s">
        <v>304</v>
      </c>
      <c r="C2" s="1"/>
      <c r="D2" s="1"/>
      <c r="E2" s="1"/>
      <c r="F2" s="1"/>
      <c r="G2" s="1"/>
      <c r="H2" s="1"/>
      <c r="I2" s="1"/>
      <c r="J2" s="1"/>
    </row>
    <row r="3" spans="2:22">
      <c r="B3" s="4" t="s">
        <v>158</v>
      </c>
      <c r="C3" s="1"/>
      <c r="D3" s="1"/>
      <c r="E3" s="1"/>
      <c r="F3" s="1"/>
      <c r="G3" s="1"/>
      <c r="H3" s="1"/>
      <c r="I3" s="1"/>
      <c r="J3" s="1"/>
    </row>
    <row r="5" spans="2:22" ht="16" thickBot="1"/>
    <row r="6" spans="2:22" ht="20" thickBot="1">
      <c r="B6" s="463" t="s">
        <v>316</v>
      </c>
      <c r="C6" s="464"/>
      <c r="D6" s="464"/>
      <c r="E6" s="464"/>
      <c r="F6" s="464"/>
      <c r="G6" s="465"/>
    </row>
    <row r="7" spans="2:22" ht="15" customHeight="1">
      <c r="B7" s="466" t="s">
        <v>315</v>
      </c>
      <c r="C7" s="459" t="s">
        <v>318</v>
      </c>
      <c r="D7" s="459" t="s">
        <v>317</v>
      </c>
      <c r="E7" s="459" t="s">
        <v>321</v>
      </c>
      <c r="F7" s="461" t="s">
        <v>320</v>
      </c>
      <c r="G7" s="374" t="s">
        <v>328</v>
      </c>
    </row>
    <row r="8" spans="2:22" ht="22" customHeight="1">
      <c r="B8" s="467"/>
      <c r="C8" s="460"/>
      <c r="D8" s="460"/>
      <c r="E8" s="460"/>
      <c r="F8" s="462"/>
      <c r="G8" s="390" t="s">
        <v>329</v>
      </c>
    </row>
    <row r="9" spans="2:22" ht="19">
      <c r="B9" s="380" t="s">
        <v>160</v>
      </c>
      <c r="C9" s="381">
        <v>100.00817861442928</v>
      </c>
      <c r="D9" s="382">
        <v>74.645584570003109</v>
      </c>
      <c r="E9" s="383">
        <f>(C9+D9)/2</f>
        <v>87.326881592216196</v>
      </c>
      <c r="F9" s="382">
        <v>79.25</v>
      </c>
      <c r="G9" s="384">
        <f>E9/F9-1</f>
        <v>0.1019164869680278</v>
      </c>
    </row>
    <row r="10" spans="2:22" ht="19">
      <c r="B10" s="375" t="s">
        <v>319</v>
      </c>
      <c r="C10" s="376">
        <v>164.56953064418099</v>
      </c>
      <c r="D10" s="377">
        <v>116.79435889014415</v>
      </c>
      <c r="E10" s="378">
        <f t="shared" ref="E10:E11" si="0">(C10+D10)/2</f>
        <v>140.68194476716258</v>
      </c>
      <c r="F10" s="377">
        <f>F9</f>
        <v>79.25</v>
      </c>
      <c r="G10" s="379">
        <f t="shared" ref="G10:G11" si="1">E10/F10-1</f>
        <v>0.77516649548470129</v>
      </c>
    </row>
    <row r="11" spans="2:22" ht="20" thickBot="1">
      <c r="B11" s="385" t="s">
        <v>259</v>
      </c>
      <c r="C11" s="386">
        <v>54.819274870124794</v>
      </c>
      <c r="D11" s="387">
        <v>51.033226460029717</v>
      </c>
      <c r="E11" s="388">
        <f t="shared" si="0"/>
        <v>52.926250665077255</v>
      </c>
      <c r="F11" s="387">
        <f>F10</f>
        <v>79.25</v>
      </c>
      <c r="G11" s="389">
        <f t="shared" si="1"/>
        <v>-0.33216087488861512</v>
      </c>
    </row>
    <row r="14" spans="2:22" ht="24">
      <c r="H14" s="319"/>
      <c r="I14" s="319"/>
      <c r="J14" s="319"/>
      <c r="K14" s="319"/>
      <c r="L14" s="319"/>
      <c r="M14" s="319"/>
      <c r="N14" s="319"/>
      <c r="O14" s="319"/>
      <c r="P14" s="319"/>
      <c r="Q14" s="319"/>
      <c r="R14" s="319"/>
      <c r="S14" s="319"/>
      <c r="T14" s="319"/>
      <c r="U14" s="319"/>
      <c r="V14" s="319"/>
    </row>
  </sheetData>
  <mergeCells count="6">
    <mergeCell ref="C7:C8"/>
    <mergeCell ref="F7:F8"/>
    <mergeCell ref="E7:E8"/>
    <mergeCell ref="D7:D8"/>
    <mergeCell ref="B6:G6"/>
    <mergeCell ref="B7:B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F50B-B487-C84D-B906-D27B61C7F2BF}">
  <dimension ref="B1:O34"/>
  <sheetViews>
    <sheetView showGridLines="0" zoomScaleNormal="100" workbookViewId="0">
      <selection activeCell="J17" sqref="J17"/>
    </sheetView>
  </sheetViews>
  <sheetFormatPr baseColWidth="10" defaultColWidth="10.83203125" defaultRowHeight="15"/>
  <cols>
    <col min="1" max="1" width="0.83203125" customWidth="1"/>
    <col min="2" max="2" width="24.6640625" customWidth="1"/>
    <col min="3" max="5" width="10.83203125" customWidth="1"/>
    <col min="6" max="6" width="15" customWidth="1"/>
    <col min="7" max="7" width="20.83203125" customWidth="1"/>
    <col min="8" max="8" width="12.83203125" customWidth="1"/>
    <col min="9" max="9" width="11" customWidth="1"/>
    <col min="10" max="10" width="15" customWidth="1"/>
    <col min="11" max="11" width="20.83203125" customWidth="1"/>
    <col min="12" max="15" width="15" customWidth="1"/>
  </cols>
  <sheetData>
    <row r="1" spans="2:15" ht="26">
      <c r="B1" s="2" t="s">
        <v>86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21">
      <c r="B2" s="3" t="s">
        <v>303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>
      <c r="B3" s="4" t="s">
        <v>158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5" spans="2:15" ht="16">
      <c r="B5" s="469" t="s">
        <v>322</v>
      </c>
      <c r="C5" s="469"/>
      <c r="D5" s="469"/>
      <c r="E5" s="469"/>
      <c r="F5" s="278"/>
      <c r="G5" s="278"/>
      <c r="H5" s="278"/>
      <c r="I5" s="279"/>
      <c r="J5" s="278"/>
      <c r="K5" s="470" t="s">
        <v>260</v>
      </c>
      <c r="L5" s="470"/>
      <c r="M5" s="470"/>
      <c r="N5" s="470"/>
      <c r="O5" s="470"/>
    </row>
    <row r="6" spans="2:15" ht="16">
      <c r="B6" s="280" t="s">
        <v>261</v>
      </c>
      <c r="C6" s="320">
        <v>2019</v>
      </c>
      <c r="D6" s="320">
        <v>2020</v>
      </c>
      <c r="E6" s="320">
        <v>2021</v>
      </c>
      <c r="F6" s="278"/>
      <c r="G6" s="308" t="s">
        <v>262</v>
      </c>
      <c r="H6" s="308"/>
      <c r="I6" s="309">
        <f>O11/1000000</f>
        <v>11128.493103280001</v>
      </c>
      <c r="J6" s="278"/>
      <c r="K6" s="471" t="s">
        <v>263</v>
      </c>
      <c r="L6" s="471" t="s">
        <v>264</v>
      </c>
      <c r="M6" s="471" t="s">
        <v>265</v>
      </c>
      <c r="N6" s="471" t="s">
        <v>266</v>
      </c>
      <c r="O6" s="471" t="s">
        <v>267</v>
      </c>
    </row>
    <row r="7" spans="2:15" ht="16">
      <c r="B7" s="321" t="s">
        <v>137</v>
      </c>
      <c r="C7" s="322">
        <f>DCF!L8</f>
        <v>3940.2660049999995</v>
      </c>
      <c r="D7" s="322">
        <f>DCF!M8</f>
        <v>6048.3083176749997</v>
      </c>
      <c r="E7" s="322">
        <f>DCF!N8</f>
        <v>8286.1823952147497</v>
      </c>
      <c r="F7" s="278"/>
      <c r="G7" s="278" t="s">
        <v>312</v>
      </c>
      <c r="H7" s="278"/>
      <c r="I7" s="282">
        <v>1166.2829999999999</v>
      </c>
      <c r="J7" s="278"/>
      <c r="K7" s="472"/>
      <c r="L7" s="472"/>
      <c r="M7" s="472"/>
      <c r="N7" s="472"/>
      <c r="O7" s="472"/>
    </row>
    <row r="8" spans="2:15" ht="16">
      <c r="B8" s="323"/>
      <c r="C8" s="324"/>
      <c r="D8" s="325"/>
      <c r="E8" s="325"/>
      <c r="F8" s="278"/>
      <c r="G8" s="278" t="s">
        <v>313</v>
      </c>
      <c r="H8" s="278"/>
      <c r="I8" s="282">
        <v>205.64599999999999</v>
      </c>
      <c r="J8" s="278"/>
      <c r="K8" s="278" t="s">
        <v>268</v>
      </c>
      <c r="L8" s="283">
        <v>50306978</v>
      </c>
      <c r="M8" s="284">
        <v>79.25</v>
      </c>
      <c r="N8" s="285">
        <v>1</v>
      </c>
      <c r="O8" s="283">
        <f>M8*L8</f>
        <v>3986828006.5</v>
      </c>
    </row>
    <row r="9" spans="2:15" ht="16">
      <c r="B9" s="323" t="s">
        <v>311</v>
      </c>
      <c r="C9" s="325"/>
      <c r="D9" s="325"/>
      <c r="E9" s="326">
        <f>I18</f>
        <v>2.5</v>
      </c>
      <c r="F9" s="278"/>
      <c r="G9" s="278" t="s">
        <v>314</v>
      </c>
      <c r="H9" s="278"/>
      <c r="I9" s="286">
        <v>-94.942999999999998</v>
      </c>
      <c r="J9" s="278"/>
      <c r="K9" s="278" t="s">
        <v>269</v>
      </c>
      <c r="L9" s="283">
        <v>12840081</v>
      </c>
      <c r="M9" s="284">
        <v>70.53</v>
      </c>
      <c r="N9" s="285">
        <v>1</v>
      </c>
      <c r="O9" s="283">
        <f t="shared" ref="O9:O10" si="0">M9*L9</f>
        <v>905610912.93000007</v>
      </c>
    </row>
    <row r="10" spans="2:15" ht="17" thickBot="1">
      <c r="B10" s="325"/>
      <c r="C10" s="325"/>
      <c r="D10" s="325"/>
      <c r="E10" s="325"/>
      <c r="F10" s="278"/>
      <c r="G10" s="278"/>
      <c r="H10" s="278"/>
      <c r="I10" s="278"/>
      <c r="J10" s="278"/>
      <c r="K10" s="287" t="s">
        <v>270</v>
      </c>
      <c r="L10" s="288">
        <v>88417045</v>
      </c>
      <c r="M10" s="289">
        <f>M9</f>
        <v>70.53</v>
      </c>
      <c r="N10" s="290">
        <v>10</v>
      </c>
      <c r="O10" s="288">
        <f t="shared" si="0"/>
        <v>6236054183.8500004</v>
      </c>
    </row>
    <row r="11" spans="2:15" ht="17" thickBot="1">
      <c r="B11" s="327" t="s">
        <v>271</v>
      </c>
      <c r="C11" s="327"/>
      <c r="D11" s="327"/>
      <c r="E11" s="328">
        <f>E7*E9</f>
        <v>20715.455988036876</v>
      </c>
      <c r="F11" s="278"/>
      <c r="G11" s="291" t="s">
        <v>164</v>
      </c>
      <c r="H11" s="292"/>
      <c r="I11" s="293">
        <f>SUM(I6:I9)</f>
        <v>12405.479103280002</v>
      </c>
      <c r="J11" s="278"/>
      <c r="K11" s="278"/>
      <c r="L11" s="294">
        <f>SUM(L8:L10)</f>
        <v>151564104</v>
      </c>
      <c r="M11" s="278"/>
      <c r="N11" s="295" t="s">
        <v>272</v>
      </c>
      <c r="O11" s="296">
        <f>SUM(O8:O10)</f>
        <v>11128493103.280001</v>
      </c>
    </row>
    <row r="12" spans="2:15" ht="16">
      <c r="B12" s="329" t="s">
        <v>310</v>
      </c>
      <c r="C12" s="329"/>
      <c r="D12" s="329"/>
      <c r="E12" s="330">
        <f>1/(1+H14)^2</f>
        <v>0.79335139877485172</v>
      </c>
      <c r="F12" s="278"/>
      <c r="G12" s="278"/>
      <c r="H12" s="278"/>
      <c r="I12" s="278"/>
      <c r="J12" s="278"/>
      <c r="K12" s="278"/>
      <c r="L12" s="297"/>
      <c r="M12" s="278"/>
      <c r="N12" s="278"/>
      <c r="O12" s="278"/>
    </row>
    <row r="13" spans="2:15" ht="16">
      <c r="B13" s="325" t="s">
        <v>309</v>
      </c>
      <c r="C13" s="325"/>
      <c r="D13" s="325"/>
      <c r="E13" s="331">
        <f>E11*E12</f>
        <v>16434.635984367935</v>
      </c>
      <c r="F13" s="278"/>
      <c r="G13" s="278"/>
      <c r="H13" s="278"/>
      <c r="I13" s="278"/>
      <c r="J13" s="278"/>
      <c r="K13" s="278"/>
      <c r="L13" s="278"/>
      <c r="M13" s="278"/>
      <c r="N13" s="278"/>
      <c r="O13" s="278"/>
    </row>
    <row r="14" spans="2:15" ht="16">
      <c r="B14" s="325" t="s">
        <v>308</v>
      </c>
      <c r="C14" s="325"/>
      <c r="D14" s="325"/>
      <c r="E14" s="332">
        <v>-1166.2829999999999</v>
      </c>
      <c r="F14" s="278"/>
      <c r="G14" s="298" t="s">
        <v>273</v>
      </c>
      <c r="H14" s="299">
        <v>0.122709</v>
      </c>
      <c r="I14" s="278"/>
      <c r="J14" s="278"/>
      <c r="K14" s="278"/>
      <c r="L14" s="278"/>
      <c r="M14" s="278"/>
      <c r="N14" s="278"/>
      <c r="O14" s="278"/>
    </row>
    <row r="15" spans="2:15" ht="16">
      <c r="B15" s="325" t="s">
        <v>307</v>
      </c>
      <c r="C15" s="325"/>
      <c r="D15" s="325"/>
      <c r="E15" s="332">
        <v>-205.64599999999999</v>
      </c>
      <c r="F15" s="278"/>
      <c r="G15" s="278"/>
      <c r="H15" s="278"/>
      <c r="I15" s="278"/>
      <c r="J15" s="278"/>
      <c r="K15" s="278"/>
      <c r="L15" s="300"/>
      <c r="M15" s="278"/>
      <c r="N15" s="278"/>
      <c r="O15" s="278"/>
    </row>
    <row r="16" spans="2:15" ht="21">
      <c r="B16" s="329" t="s">
        <v>306</v>
      </c>
      <c r="C16" s="329"/>
      <c r="D16" s="329"/>
      <c r="E16" s="333">
        <v>94.942999999999998</v>
      </c>
      <c r="F16" s="278"/>
      <c r="G16" s="278"/>
      <c r="H16" s="278"/>
      <c r="I16" s="278"/>
      <c r="J16" s="278"/>
      <c r="K16" s="468" t="s">
        <v>275</v>
      </c>
      <c r="L16" s="468"/>
      <c r="M16" s="468"/>
      <c r="N16" s="468"/>
      <c r="O16" s="468"/>
    </row>
    <row r="17" spans="2:15" ht="16">
      <c r="B17" s="327" t="s">
        <v>274</v>
      </c>
      <c r="C17" s="327"/>
      <c r="D17" s="327"/>
      <c r="E17" s="328">
        <f>SUM(E13:E16)</f>
        <v>15157.649984367934</v>
      </c>
      <c r="F17" s="278"/>
      <c r="G17" s="303" t="s">
        <v>301</v>
      </c>
      <c r="H17" s="278"/>
      <c r="I17" s="287"/>
      <c r="J17" s="278"/>
      <c r="K17" s="301"/>
      <c r="L17" s="301"/>
      <c r="M17" s="302" t="s">
        <v>276</v>
      </c>
      <c r="N17" s="301"/>
      <c r="O17" s="301"/>
    </row>
    <row r="18" spans="2:15" ht="21" thickBot="1">
      <c r="B18" s="325"/>
      <c r="C18" s="325"/>
      <c r="D18" s="325"/>
      <c r="E18" s="325"/>
      <c r="F18" s="278"/>
      <c r="G18" t="s">
        <v>302</v>
      </c>
      <c r="I18" s="304">
        <f>CHOOSE(DCF!$D$4,'EV Sales'!I19,'EV Sales'!I20,'EV Sales'!I21)</f>
        <v>2.5</v>
      </c>
      <c r="J18" s="278"/>
      <c r="K18" s="338" t="s">
        <v>278</v>
      </c>
      <c r="L18" s="338" t="s">
        <v>279</v>
      </c>
      <c r="M18" s="338" t="s">
        <v>280</v>
      </c>
      <c r="N18" s="338" t="s">
        <v>281</v>
      </c>
      <c r="O18" s="338" t="s">
        <v>282</v>
      </c>
    </row>
    <row r="19" spans="2:15" ht="19">
      <c r="B19" s="325" t="s">
        <v>305</v>
      </c>
      <c r="C19" s="325"/>
      <c r="D19" s="325"/>
      <c r="E19" s="331">
        <f>SUM(L8:L10)/1000000</f>
        <v>151.56410399999999</v>
      </c>
      <c r="F19" s="278"/>
      <c r="G19" s="85" t="s">
        <v>160</v>
      </c>
      <c r="H19" s="75">
        <v>1</v>
      </c>
      <c r="I19" s="305">
        <v>2.5</v>
      </c>
      <c r="K19" s="339" t="s">
        <v>283</v>
      </c>
      <c r="L19" s="340" t="s">
        <v>284</v>
      </c>
      <c r="M19" s="341">
        <v>15.68</v>
      </c>
      <c r="N19" s="341">
        <v>17.899999999999999</v>
      </c>
      <c r="O19" s="342">
        <v>0.91</v>
      </c>
    </row>
    <row r="20" spans="2:15" ht="20" thickBot="1">
      <c r="B20" s="325"/>
      <c r="C20" s="325"/>
      <c r="D20" s="325"/>
      <c r="E20" s="325"/>
      <c r="F20" s="278"/>
      <c r="G20" s="85" t="s">
        <v>258</v>
      </c>
      <c r="H20" s="75">
        <v>2</v>
      </c>
      <c r="I20" s="306">
        <v>3.5</v>
      </c>
      <c r="K20" s="343" t="s">
        <v>325</v>
      </c>
      <c r="L20" s="344" t="s">
        <v>285</v>
      </c>
      <c r="M20" s="345">
        <v>1.32</v>
      </c>
      <c r="N20" s="345">
        <v>4.05</v>
      </c>
      <c r="O20" s="346">
        <v>0.39</v>
      </c>
    </row>
    <row r="21" spans="2:15" ht="20" thickBot="1">
      <c r="B21" s="334" t="s">
        <v>277</v>
      </c>
      <c r="C21" s="335"/>
      <c r="D21" s="335"/>
      <c r="E21" s="336">
        <f>E17/E19</f>
        <v>100.00817861442928</v>
      </c>
      <c r="F21" s="281"/>
      <c r="G21" s="85" t="s">
        <v>259</v>
      </c>
      <c r="H21" s="75">
        <v>3</v>
      </c>
      <c r="I21" s="307">
        <v>1.5</v>
      </c>
      <c r="K21" s="347" t="s">
        <v>324</v>
      </c>
      <c r="L21" s="348" t="s">
        <v>286</v>
      </c>
      <c r="M21" s="349">
        <v>1.93</v>
      </c>
      <c r="N21" s="349">
        <v>3.78</v>
      </c>
      <c r="O21" s="350">
        <v>0.53</v>
      </c>
    </row>
    <row r="22" spans="2:15" ht="20" thickBot="1">
      <c r="B22" s="278"/>
      <c r="C22" s="278"/>
      <c r="D22" s="278"/>
      <c r="E22" s="278"/>
      <c r="F22" s="278"/>
      <c r="K22" s="351" t="s">
        <v>287</v>
      </c>
      <c r="L22" s="352" t="s">
        <v>288</v>
      </c>
      <c r="M22" s="353">
        <v>1.94</v>
      </c>
      <c r="N22" s="353">
        <v>5.0999999999999996</v>
      </c>
      <c r="O22" s="354">
        <v>0.43</v>
      </c>
    </row>
    <row r="23" spans="2:15" ht="20" thickBot="1">
      <c r="B23" s="278"/>
      <c r="C23" s="278"/>
      <c r="D23" s="278"/>
      <c r="E23" s="278"/>
      <c r="F23" s="278"/>
      <c r="K23" s="355" t="s">
        <v>326</v>
      </c>
      <c r="L23" s="356"/>
      <c r="M23" s="357">
        <f>AVERAGE(M19:M22)</f>
        <v>5.2175000000000002</v>
      </c>
      <c r="N23" s="357">
        <f>AVERAGE(N19:N22)</f>
        <v>7.7074999999999996</v>
      </c>
      <c r="O23" s="358">
        <f>AVERAGE(O19:O22)</f>
        <v>0.56500000000000006</v>
      </c>
    </row>
    <row r="24" spans="2:15" ht="19">
      <c r="B24" s="278"/>
      <c r="C24" s="278"/>
      <c r="D24" s="278"/>
      <c r="E24" s="278"/>
      <c r="F24" s="278"/>
      <c r="K24" s="359" t="s">
        <v>289</v>
      </c>
      <c r="L24" s="360" t="s">
        <v>290</v>
      </c>
      <c r="M24" s="361">
        <v>906.49</v>
      </c>
      <c r="N24" s="361">
        <v>937.68</v>
      </c>
      <c r="O24" s="362">
        <v>3.53</v>
      </c>
    </row>
    <row r="25" spans="2:15" ht="19">
      <c r="B25" s="278"/>
      <c r="C25" s="278"/>
      <c r="D25" s="278"/>
      <c r="E25" s="278"/>
      <c r="F25" s="278"/>
      <c r="K25" s="347" t="s">
        <v>291</v>
      </c>
      <c r="L25" s="348" t="s">
        <v>292</v>
      </c>
      <c r="M25" s="363">
        <v>5.84</v>
      </c>
      <c r="N25" s="363">
        <v>5.86</v>
      </c>
      <c r="O25" s="350">
        <v>7.83</v>
      </c>
    </row>
    <row r="26" spans="2:15" ht="19">
      <c r="B26" s="278"/>
      <c r="C26" s="278"/>
      <c r="D26" s="278"/>
      <c r="E26" s="278"/>
      <c r="F26" s="278"/>
      <c r="K26" s="343" t="s">
        <v>293</v>
      </c>
      <c r="L26" s="344" t="s">
        <v>294</v>
      </c>
      <c r="M26" s="345">
        <v>28.86</v>
      </c>
      <c r="N26" s="345">
        <v>33.049999999999997</v>
      </c>
      <c r="O26" s="364">
        <v>3.04</v>
      </c>
    </row>
    <row r="27" spans="2:15" ht="19">
      <c r="B27" s="278"/>
      <c r="C27" s="278"/>
      <c r="D27" s="278"/>
      <c r="E27" s="278"/>
      <c r="F27" s="278"/>
      <c r="K27" s="347" t="s">
        <v>295</v>
      </c>
      <c r="L27" s="348" t="s">
        <v>296</v>
      </c>
      <c r="M27" s="363">
        <v>11.55</v>
      </c>
      <c r="N27" s="363">
        <v>11.63</v>
      </c>
      <c r="O27" s="350">
        <v>2.54</v>
      </c>
    </row>
    <row r="28" spans="2:15" ht="20" thickBot="1">
      <c r="B28" s="278"/>
      <c r="C28" s="278"/>
      <c r="D28" s="278"/>
      <c r="E28" s="278"/>
      <c r="F28" s="278"/>
      <c r="K28" s="351" t="s">
        <v>297</v>
      </c>
      <c r="L28" s="352" t="s">
        <v>298</v>
      </c>
      <c r="M28" s="365">
        <v>9.7200000000000006</v>
      </c>
      <c r="N28" s="365">
        <v>10.75</v>
      </c>
      <c r="O28" s="354">
        <v>1.25</v>
      </c>
    </row>
    <row r="29" spans="2:15" ht="20" thickBot="1">
      <c r="B29" s="278"/>
      <c r="C29" s="278"/>
      <c r="D29" s="278"/>
      <c r="E29" s="278"/>
      <c r="F29" s="278"/>
      <c r="K29" s="355" t="s">
        <v>326</v>
      </c>
      <c r="L29" s="356"/>
      <c r="M29" s="357">
        <f>AVERAGE(M25:M28)</f>
        <v>13.9925</v>
      </c>
      <c r="N29" s="357">
        <f>AVERAGE(N25:N28)</f>
        <v>15.3225</v>
      </c>
      <c r="O29" s="358">
        <f>AVERAGE(O25:O28)</f>
        <v>3.665</v>
      </c>
    </row>
    <row r="30" spans="2:15" ht="20" thickBot="1">
      <c r="B30" s="278"/>
      <c r="C30" s="278"/>
      <c r="D30" s="278"/>
      <c r="E30" s="278"/>
      <c r="F30" s="278"/>
      <c r="K30" s="366" t="s">
        <v>299</v>
      </c>
      <c r="L30" s="367" t="s">
        <v>300</v>
      </c>
      <c r="M30" s="368">
        <f>O11/1000000000</f>
        <v>11.12849310328</v>
      </c>
      <c r="N30" s="368">
        <f>I11/1000</f>
        <v>12.405479103280003</v>
      </c>
      <c r="O30" s="369">
        <v>3.78</v>
      </c>
    </row>
    <row r="31" spans="2:15" ht="20" thickBot="1">
      <c r="B31" s="278"/>
      <c r="C31" s="278"/>
      <c r="K31" s="370" t="s">
        <v>327</v>
      </c>
      <c r="L31" s="371"/>
      <c r="M31" s="372">
        <f>(0.75*M29)+(0.25*M23)</f>
        <v>11.79875</v>
      </c>
      <c r="N31" s="372">
        <f>(0.75*N29)+(0.25*N23)</f>
        <v>13.418749999999999</v>
      </c>
      <c r="O31" s="373">
        <f>(0.6*O29)+(0.4*O23)</f>
        <v>2.4249999999999998</v>
      </c>
    </row>
    <row r="32" spans="2:15">
      <c r="B32" s="278"/>
      <c r="C32" s="278"/>
      <c r="L32" s="278"/>
      <c r="M32" s="278"/>
      <c r="N32" s="278"/>
      <c r="O32" s="278"/>
    </row>
    <row r="33" spans="2:15">
      <c r="B33" s="278"/>
      <c r="C33" s="278"/>
      <c r="L33" s="278"/>
      <c r="M33" s="278"/>
      <c r="N33" s="278"/>
      <c r="O33" s="278"/>
    </row>
    <row r="34" spans="2:15">
      <c r="B34" s="278"/>
      <c r="C34" s="278"/>
      <c r="L34" s="278"/>
      <c r="M34" s="278"/>
      <c r="N34" s="278"/>
      <c r="O34" s="278"/>
    </row>
  </sheetData>
  <mergeCells count="8">
    <mergeCell ref="K16:O16"/>
    <mergeCell ref="B5:E5"/>
    <mergeCell ref="K5:O5"/>
    <mergeCell ref="K6:K7"/>
    <mergeCell ref="L6:L7"/>
    <mergeCell ref="M6:M7"/>
    <mergeCell ref="N6:N7"/>
    <mergeCell ref="O6:O7"/>
  </mergeCells>
  <pageMargins left="0.7" right="0.7" top="0.75" bottom="0.75" header="0.3" footer="0.3"/>
  <pageSetup orientation="portrait" horizontalDpi="1200" verticalDpi="1200" r:id="rId1"/>
  <ignoredErrors>
    <ignoredError sqref="M29:O29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EB98-209C-43B5-9BF3-443BFDEDE437}">
  <dimension ref="A1:X70"/>
  <sheetViews>
    <sheetView showGridLines="0" tabSelected="1" zoomScale="90" zoomScaleNormal="90" workbookViewId="0">
      <selection activeCell="H28" sqref="H28"/>
    </sheetView>
  </sheetViews>
  <sheetFormatPr baseColWidth="10" defaultColWidth="8.83203125" defaultRowHeight="15"/>
  <cols>
    <col min="1" max="1" width="1.6640625" customWidth="1"/>
    <col min="2" max="9" width="12.6640625" customWidth="1"/>
    <col min="10" max="11" width="1.6640625" customWidth="1"/>
    <col min="12" max="28" width="12.6640625" customWidth="1"/>
  </cols>
  <sheetData>
    <row r="1" spans="1:24" ht="26">
      <c r="B1" s="2" t="s">
        <v>86</v>
      </c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  <c r="P1" s="318"/>
      <c r="Q1" s="318"/>
      <c r="R1" s="318"/>
      <c r="S1" s="318"/>
      <c r="T1" s="456"/>
      <c r="U1" s="457" t="s">
        <v>175</v>
      </c>
      <c r="V1" s="458">
        <f>(V46+L46)/2</f>
        <v>74.645584570003109</v>
      </c>
    </row>
    <row r="2" spans="1:24" ht="21">
      <c r="B2" s="3" t="s">
        <v>157</v>
      </c>
      <c r="C2" s="314"/>
      <c r="D2" s="314"/>
      <c r="E2" s="314"/>
      <c r="F2" s="314"/>
      <c r="G2" s="314"/>
      <c r="H2" s="314"/>
      <c r="I2" s="314"/>
      <c r="J2" s="314"/>
      <c r="K2" s="314"/>
      <c r="L2" s="314"/>
      <c r="M2" s="314"/>
      <c r="N2" s="314"/>
      <c r="O2" s="314"/>
      <c r="P2" s="314"/>
      <c r="Q2" s="314"/>
      <c r="R2" s="314"/>
      <c r="S2" s="314"/>
      <c r="T2" s="314"/>
      <c r="U2" s="314"/>
      <c r="V2" s="314"/>
    </row>
    <row r="3" spans="1:24" ht="19">
      <c r="B3" s="315" t="s">
        <v>158</v>
      </c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4"/>
      <c r="O3" s="314"/>
      <c r="P3" s="314"/>
      <c r="Q3" s="314"/>
      <c r="R3" s="314"/>
      <c r="S3" s="314"/>
      <c r="T3" s="314"/>
      <c r="U3" s="316" t="s">
        <v>159</v>
      </c>
      <c r="V3" s="317" t="str">
        <f>IF(D4=1,"Base",IF(D4=2,"Bull Case",IF(D4=3,"Bear Case","None")))</f>
        <v>Base</v>
      </c>
    </row>
    <row r="4" spans="1:24" ht="16">
      <c r="B4" s="391" t="s">
        <v>161</v>
      </c>
      <c r="C4" s="392"/>
      <c r="D4" s="393">
        <v>1</v>
      </c>
      <c r="E4" s="392"/>
      <c r="F4" s="392"/>
      <c r="G4" s="392"/>
      <c r="H4" s="392"/>
      <c r="I4" s="392"/>
      <c r="J4" s="392"/>
      <c r="K4" s="392"/>
      <c r="L4" s="392"/>
      <c r="M4" s="392"/>
      <c r="N4" s="392"/>
      <c r="O4" s="392"/>
      <c r="P4" s="392"/>
      <c r="Q4" s="392"/>
      <c r="R4" s="392"/>
      <c r="S4" s="392"/>
      <c r="T4" s="392"/>
      <c r="U4" s="394"/>
      <c r="V4" s="395"/>
    </row>
    <row r="5" spans="1:24" ht="16">
      <c r="B5" s="396" t="s">
        <v>162</v>
      </c>
      <c r="C5" s="397"/>
      <c r="D5" s="393" t="s">
        <v>244</v>
      </c>
      <c r="E5" s="397"/>
      <c r="F5" s="398"/>
      <c r="G5" s="399" t="s">
        <v>153</v>
      </c>
      <c r="H5" s="398"/>
      <c r="I5" s="400" t="s">
        <v>154</v>
      </c>
      <c r="J5" s="400"/>
      <c r="K5" s="401"/>
      <c r="L5" s="402"/>
      <c r="M5" s="403"/>
      <c r="N5" s="399"/>
      <c r="O5" s="402"/>
      <c r="P5" s="402"/>
      <c r="Q5" s="399" t="s">
        <v>156</v>
      </c>
      <c r="R5" s="402"/>
      <c r="S5" s="402"/>
      <c r="T5" s="402"/>
      <c r="U5" s="402"/>
      <c r="V5" s="400" t="s">
        <v>154</v>
      </c>
    </row>
    <row r="6" spans="1:24" s="11" customFormat="1" ht="16">
      <c r="A6"/>
      <c r="B6" s="396"/>
      <c r="C6" s="400"/>
      <c r="D6" s="396"/>
      <c r="E6" s="396"/>
      <c r="F6" s="404">
        <f>G6-1</f>
        <v>2016</v>
      </c>
      <c r="G6" s="404">
        <f>H6-1</f>
        <v>2017</v>
      </c>
      <c r="H6" s="405">
        <v>2018</v>
      </c>
      <c r="I6" s="406" t="s">
        <v>155</v>
      </c>
      <c r="J6" s="407"/>
      <c r="K6" s="408"/>
      <c r="L6" s="409">
        <f>H6+1</f>
        <v>2019</v>
      </c>
      <c r="M6" s="404">
        <f>L6+1</f>
        <v>2020</v>
      </c>
      <c r="N6" s="404">
        <f t="shared" ref="N6:U6" si="0">M6+1</f>
        <v>2021</v>
      </c>
      <c r="O6" s="404">
        <f t="shared" si="0"/>
        <v>2022</v>
      </c>
      <c r="P6" s="404">
        <f t="shared" si="0"/>
        <v>2023</v>
      </c>
      <c r="Q6" s="404">
        <f t="shared" si="0"/>
        <v>2024</v>
      </c>
      <c r="R6" s="404">
        <f t="shared" si="0"/>
        <v>2025</v>
      </c>
      <c r="S6" s="404">
        <f t="shared" si="0"/>
        <v>2026</v>
      </c>
      <c r="T6" s="404">
        <f t="shared" si="0"/>
        <v>2027</v>
      </c>
      <c r="U6" s="404">
        <f t="shared" si="0"/>
        <v>2028</v>
      </c>
      <c r="V6" s="406" t="s">
        <v>163</v>
      </c>
    </row>
    <row r="7" spans="1:24" ht="5" customHeight="1">
      <c r="B7" s="397"/>
      <c r="C7" s="397"/>
      <c r="D7" s="397"/>
      <c r="E7" s="397"/>
      <c r="F7" s="397"/>
      <c r="G7" s="397"/>
      <c r="H7" s="397"/>
      <c r="I7" s="397"/>
      <c r="J7" s="397"/>
      <c r="K7" s="410"/>
      <c r="L7" s="411"/>
      <c r="M7" s="397"/>
      <c r="N7" s="397"/>
      <c r="O7" s="397"/>
      <c r="P7" s="397"/>
      <c r="Q7" s="397"/>
      <c r="R7" s="397"/>
      <c r="S7" s="397"/>
      <c r="T7" s="397"/>
      <c r="U7" s="397"/>
      <c r="V7" s="397"/>
    </row>
    <row r="8" spans="1:24" ht="16">
      <c r="B8" s="396" t="s">
        <v>137</v>
      </c>
      <c r="C8" s="397"/>
      <c r="D8" s="397"/>
      <c r="E8" s="397"/>
      <c r="F8" s="412">
        <v>365.14800000000002</v>
      </c>
      <c r="G8" s="412">
        <v>858.87</v>
      </c>
      <c r="H8" s="412">
        <v>1955.4670000000001</v>
      </c>
      <c r="I8" s="413">
        <f>IFERROR((H8/F8)^(1/($H$6-$F$6))-1,0)</f>
        <v>1.3141461454940773</v>
      </c>
      <c r="J8" s="414"/>
      <c r="K8" s="415"/>
      <c r="L8" s="416">
        <f>H8*(1+L64)</f>
        <v>3940.2660049999995</v>
      </c>
      <c r="M8" s="417">
        <f>L8*(1+M64)</f>
        <v>6048.3083176749997</v>
      </c>
      <c r="N8" s="417">
        <f t="shared" ref="N8:U8" si="1">M8*(1+N64)</f>
        <v>8286.1823952147497</v>
      </c>
      <c r="O8" s="417">
        <f t="shared" si="1"/>
        <v>10788.609478569604</v>
      </c>
      <c r="P8" s="417">
        <f t="shared" si="1"/>
        <v>13723.111256740536</v>
      </c>
      <c r="Q8" s="417">
        <f t="shared" si="1"/>
        <v>16961.765513331302</v>
      </c>
      <c r="R8" s="417">
        <f t="shared" si="1"/>
        <v>20164.146842248254</v>
      </c>
      <c r="S8" s="417">
        <f t="shared" si="1"/>
        <v>23229.097162269987</v>
      </c>
      <c r="T8" s="417">
        <f t="shared" si="1"/>
        <v>25647.246176862296</v>
      </c>
      <c r="U8" s="417">
        <f t="shared" si="1"/>
        <v>26929.608485705412</v>
      </c>
      <c r="V8" s="413">
        <f>IFERROR((U8/L8)^(1/($U$6-$L$6))-1,0)</f>
        <v>0.238069270121124</v>
      </c>
      <c r="X8" s="32"/>
    </row>
    <row r="9" spans="1:24" ht="16">
      <c r="B9" s="418" t="s">
        <v>138</v>
      </c>
      <c r="C9" s="419"/>
      <c r="D9" s="419"/>
      <c r="E9" s="419"/>
      <c r="F9" s="420" t="s">
        <v>133</v>
      </c>
      <c r="G9" s="421">
        <f>IFERROR(G8/F8-1,0)</f>
        <v>1.352114758947057</v>
      </c>
      <c r="H9" s="421">
        <f t="shared" ref="H9:P9" si="2">IFERROR(H8/G8-1,0)</f>
        <v>1.2767904339422729</v>
      </c>
      <c r="I9" s="422"/>
      <c r="J9" s="423"/>
      <c r="K9" s="424"/>
      <c r="L9" s="423">
        <f>IFERROR(L8/H8-1,0)</f>
        <v>1.0149999999999997</v>
      </c>
      <c r="M9" s="421">
        <f t="shared" si="2"/>
        <v>0.53500000000000014</v>
      </c>
      <c r="N9" s="421">
        <f t="shared" si="2"/>
        <v>0.37000000000000011</v>
      </c>
      <c r="O9" s="421">
        <f t="shared" si="2"/>
        <v>0.30200000000000005</v>
      </c>
      <c r="P9" s="421">
        <f t="shared" si="2"/>
        <v>0.27200000000000002</v>
      </c>
      <c r="Q9" s="421">
        <f t="shared" ref="Q9" si="3">IFERROR(Q8/P8-1,0)</f>
        <v>0.23599999999999999</v>
      </c>
      <c r="R9" s="421">
        <f t="shared" ref="R9" si="4">IFERROR(R8/Q8-1,0)</f>
        <v>0.18880000000000008</v>
      </c>
      <c r="S9" s="421">
        <f t="shared" ref="S9" si="5">IFERROR(S8/R8-1,0)</f>
        <v>0.15199999999999991</v>
      </c>
      <c r="T9" s="421">
        <f t="shared" ref="T9" si="6">IFERROR(T8/S8-1,0)</f>
        <v>0.10410000000000008</v>
      </c>
      <c r="U9" s="421">
        <f t="shared" ref="U9" si="7">IFERROR(U8/T8-1,0)</f>
        <v>5.0000000000000044E-2</v>
      </c>
      <c r="V9" s="425"/>
    </row>
    <row r="10" spans="1:24" ht="16">
      <c r="B10" s="426" t="s">
        <v>19</v>
      </c>
      <c r="C10" s="397"/>
      <c r="D10" s="397"/>
      <c r="E10" s="397"/>
      <c r="F10" s="427">
        <v>345.95100000000002</v>
      </c>
      <c r="G10" s="427">
        <v>790.779</v>
      </c>
      <c r="H10" s="427">
        <v>1758.758</v>
      </c>
      <c r="I10" s="428"/>
      <c r="J10" s="411"/>
      <c r="K10" s="410"/>
      <c r="L10" s="429">
        <f>L8*L65</f>
        <v>3436.9758281813497</v>
      </c>
      <c r="M10" s="429">
        <f t="shared" ref="M10:U10" si="8">M8*M65</f>
        <v>5199.2467960397835</v>
      </c>
      <c r="N10" s="429">
        <f t="shared" si="8"/>
        <v>7059.0816443073973</v>
      </c>
      <c r="O10" s="429">
        <f t="shared" si="8"/>
        <v>9094.7972712767969</v>
      </c>
      <c r="P10" s="429">
        <f t="shared" si="8"/>
        <v>11472.521010635088</v>
      </c>
      <c r="Q10" s="429">
        <f t="shared" si="8"/>
        <v>14069.784493308316</v>
      </c>
      <c r="R10" s="429">
        <f t="shared" si="8"/>
        <v>16726.159805644926</v>
      </c>
      <c r="S10" s="429">
        <f t="shared" si="8"/>
        <v>19268.536096102955</v>
      </c>
      <c r="T10" s="429">
        <f t="shared" si="8"/>
        <v>21274.390703707275</v>
      </c>
      <c r="U10" s="429">
        <f t="shared" si="8"/>
        <v>22338.110238892641</v>
      </c>
      <c r="V10" s="425"/>
    </row>
    <row r="11" spans="1:24" ht="16">
      <c r="B11" s="396" t="s">
        <v>136</v>
      </c>
      <c r="C11" s="397"/>
      <c r="D11" s="397"/>
      <c r="E11" s="397"/>
      <c r="F11" s="430">
        <f>F8-F10</f>
        <v>19.197000000000003</v>
      </c>
      <c r="G11" s="430">
        <f t="shared" ref="G11:H11" si="9">G8-G10</f>
        <v>68.091000000000008</v>
      </c>
      <c r="H11" s="430">
        <f t="shared" si="9"/>
        <v>196.70900000000006</v>
      </c>
      <c r="I11" s="413">
        <f>IFERROR((H11/F11)^(1/($H$6-$F$6))-1,0)</f>
        <v>2.2010719280850735</v>
      </c>
      <c r="J11" s="414"/>
      <c r="K11" s="415"/>
      <c r="L11" s="431">
        <f t="shared" ref="L11:U11" si="10">L8-L10</f>
        <v>503.2901768186498</v>
      </c>
      <c r="M11" s="430">
        <f t="shared" si="10"/>
        <v>849.0615216352162</v>
      </c>
      <c r="N11" s="430">
        <f t="shared" si="10"/>
        <v>1227.1007509073524</v>
      </c>
      <c r="O11" s="430">
        <f t="shared" si="10"/>
        <v>1693.8122072928072</v>
      </c>
      <c r="P11" s="430">
        <f t="shared" si="10"/>
        <v>2250.5902461054484</v>
      </c>
      <c r="Q11" s="430">
        <f t="shared" si="10"/>
        <v>2891.9810200229858</v>
      </c>
      <c r="R11" s="430">
        <f t="shared" si="10"/>
        <v>3437.9870366033283</v>
      </c>
      <c r="S11" s="430">
        <f t="shared" si="10"/>
        <v>3960.5610661670325</v>
      </c>
      <c r="T11" s="430">
        <f t="shared" si="10"/>
        <v>4372.8554731550212</v>
      </c>
      <c r="U11" s="430">
        <f t="shared" si="10"/>
        <v>4591.498246812771</v>
      </c>
      <c r="V11" s="413">
        <f>IFERROR((U11/L11)^(1/($U$6-$L$6))-1,0)</f>
        <v>0.27844419148738764</v>
      </c>
    </row>
    <row r="12" spans="1:24" ht="16">
      <c r="B12" s="418" t="s">
        <v>139</v>
      </c>
      <c r="C12" s="419"/>
      <c r="D12" s="419"/>
      <c r="E12" s="419"/>
      <c r="F12" s="432">
        <f>IFERROR(F11/F8,0)</f>
        <v>5.2573203194321211E-2</v>
      </c>
      <c r="G12" s="432">
        <f t="shared" ref="G12:U12" si="11">IFERROR(G11/G8,0)</f>
        <v>7.9279751301128229E-2</v>
      </c>
      <c r="H12" s="432">
        <f t="shared" si="11"/>
        <v>0.100594384870724</v>
      </c>
      <c r="I12" s="433"/>
      <c r="J12" s="434"/>
      <c r="K12" s="435"/>
      <c r="L12" s="434">
        <f t="shared" si="11"/>
        <v>0.12772999999999995</v>
      </c>
      <c r="M12" s="432">
        <f t="shared" si="11"/>
        <v>0.14037999999999995</v>
      </c>
      <c r="N12" s="432">
        <f t="shared" si="11"/>
        <v>0.14809000000000003</v>
      </c>
      <c r="O12" s="432">
        <f t="shared" si="11"/>
        <v>0.15700004812087975</v>
      </c>
      <c r="P12" s="432">
        <f t="shared" si="11"/>
        <v>0.16400000000000003</v>
      </c>
      <c r="Q12" s="432">
        <f t="shared" si="11"/>
        <v>0.17049999999999993</v>
      </c>
      <c r="R12" s="432">
        <f t="shared" si="11"/>
        <v>0.17050000000000004</v>
      </c>
      <c r="S12" s="432">
        <f t="shared" si="11"/>
        <v>0.17049999999999998</v>
      </c>
      <c r="T12" s="432">
        <f t="shared" si="11"/>
        <v>0.17049999999999998</v>
      </c>
      <c r="U12" s="432">
        <f t="shared" si="11"/>
        <v>0.17049999999999993</v>
      </c>
      <c r="V12" s="425"/>
    </row>
    <row r="13" spans="1:24" ht="16">
      <c r="B13" s="397" t="s">
        <v>140</v>
      </c>
      <c r="C13" s="397"/>
      <c r="D13" s="397"/>
      <c r="E13" s="397"/>
      <c r="F13" s="427">
        <v>108.676</v>
      </c>
      <c r="G13" s="427">
        <v>223.4</v>
      </c>
      <c r="H13" s="427">
        <v>425.25799999999998</v>
      </c>
      <c r="I13" s="428"/>
      <c r="J13" s="411"/>
      <c r="K13" s="410"/>
      <c r="L13" s="429">
        <f>L8*L66</f>
        <v>711.6567021793519</v>
      </c>
      <c r="M13" s="429">
        <f t="shared" ref="M13:U13" si="12">M8*M66</f>
        <v>923.4146877001906</v>
      </c>
      <c r="N13" s="429">
        <f t="shared" si="12"/>
        <v>1112.019168095389</v>
      </c>
      <c r="O13" s="429">
        <f t="shared" si="12"/>
        <v>1373.9878543967059</v>
      </c>
      <c r="P13" s="429">
        <f t="shared" si="12"/>
        <v>1466.9630347201976</v>
      </c>
      <c r="Q13" s="429">
        <f t="shared" si="12"/>
        <v>1532.5945112824375</v>
      </c>
      <c r="R13" s="429">
        <f t="shared" si="12"/>
        <v>1485.4944488092824</v>
      </c>
      <c r="S13" s="429">
        <f t="shared" si="12"/>
        <v>1463.4331212230093</v>
      </c>
      <c r="T13" s="429">
        <f t="shared" si="12"/>
        <v>1325.8322370560495</v>
      </c>
      <c r="U13" s="429">
        <f t="shared" si="12"/>
        <v>1238.7619903424488</v>
      </c>
      <c r="V13" s="425"/>
    </row>
    <row r="14" spans="1:24" ht="16">
      <c r="B14" s="396" t="s">
        <v>108</v>
      </c>
      <c r="C14" s="397"/>
      <c r="D14" s="397"/>
      <c r="E14" s="397"/>
      <c r="F14" s="430">
        <f>F11-F13</f>
        <v>-89.478999999999999</v>
      </c>
      <c r="G14" s="430">
        <f t="shared" ref="G14:H14" si="13">G11-G13</f>
        <v>-155.309</v>
      </c>
      <c r="H14" s="430">
        <f t="shared" si="13"/>
        <v>-228.54899999999992</v>
      </c>
      <c r="I14" s="413">
        <f>-IFERROR((H14/F14)^(1/($H$6-$F$6))-1,0)</f>
        <v>-0.59819254965947555</v>
      </c>
      <c r="J14" s="414"/>
      <c r="K14" s="415"/>
      <c r="L14" s="431">
        <f t="shared" ref="L14:U14" si="14">L11-L13</f>
        <v>-208.3665253607021</v>
      </c>
      <c r="M14" s="430">
        <f t="shared" si="14"/>
        <v>-74.353166064974403</v>
      </c>
      <c r="N14" s="430">
        <f t="shared" si="14"/>
        <v>115.08158281196347</v>
      </c>
      <c r="O14" s="430">
        <f t="shared" si="14"/>
        <v>319.82435289610135</v>
      </c>
      <c r="P14" s="430">
        <f t="shared" si="14"/>
        <v>783.6272113852508</v>
      </c>
      <c r="Q14" s="430">
        <f t="shared" si="14"/>
        <v>1359.3865087405484</v>
      </c>
      <c r="R14" s="430">
        <f t="shared" si="14"/>
        <v>1952.4925877940459</v>
      </c>
      <c r="S14" s="430">
        <f t="shared" si="14"/>
        <v>2497.1279449440235</v>
      </c>
      <c r="T14" s="430">
        <f t="shared" si="14"/>
        <v>3047.0232360989717</v>
      </c>
      <c r="U14" s="430">
        <f t="shared" si="14"/>
        <v>3352.7362564703221</v>
      </c>
      <c r="V14" s="413">
        <f>-IFERROR((U14/L14)^(1/($U$6-$L$6))-1,0)</f>
        <v>2.3616437390403302</v>
      </c>
    </row>
    <row r="15" spans="1:24" ht="16">
      <c r="B15" s="418" t="s">
        <v>139</v>
      </c>
      <c r="C15" s="419"/>
      <c r="D15" s="419"/>
      <c r="E15" s="419"/>
      <c r="F15" s="432">
        <f>IFERROR(F14/F8,0)</f>
        <v>-0.24504858304030144</v>
      </c>
      <c r="G15" s="432">
        <f t="shared" ref="G15:U15" si="15">IFERROR(G14/G8,0)</f>
        <v>-0.18082946196746888</v>
      </c>
      <c r="H15" s="432">
        <f t="shared" si="15"/>
        <v>-0.11687694039326663</v>
      </c>
      <c r="I15" s="433"/>
      <c r="J15" s="434"/>
      <c r="K15" s="435"/>
      <c r="L15" s="434">
        <f t="shared" si="15"/>
        <v>-5.2881334685601293E-2</v>
      </c>
      <c r="M15" s="432">
        <f t="shared" si="15"/>
        <v>-1.2293216906236706E-2</v>
      </c>
      <c r="N15" s="432">
        <f t="shared" si="15"/>
        <v>1.3888371909170477E-2</v>
      </c>
      <c r="O15" s="432">
        <f t="shared" si="15"/>
        <v>2.9644631546947502E-2</v>
      </c>
      <c r="P15" s="432">
        <f t="shared" si="15"/>
        <v>5.710273688849879E-2</v>
      </c>
      <c r="Q15" s="432">
        <f t="shared" si="15"/>
        <v>8.0144163511287919E-2</v>
      </c>
      <c r="R15" s="432">
        <f t="shared" si="15"/>
        <v>9.6829913165636702E-2</v>
      </c>
      <c r="S15" s="432">
        <f t="shared" si="15"/>
        <v>0.1075</v>
      </c>
      <c r="T15" s="432">
        <f t="shared" si="15"/>
        <v>0.11880508398784149</v>
      </c>
      <c r="U15" s="432">
        <f t="shared" si="15"/>
        <v>0.12449999999999994</v>
      </c>
      <c r="V15" s="425"/>
    </row>
    <row r="16" spans="1:24" ht="16">
      <c r="B16" s="397" t="s">
        <v>142</v>
      </c>
      <c r="C16" s="397"/>
      <c r="D16" s="397"/>
      <c r="E16" s="397"/>
      <c r="F16" s="427">
        <v>4.6580000000000004</v>
      </c>
      <c r="G16" s="427">
        <v>11.568</v>
      </c>
      <c r="H16" s="427">
        <v>23.539000000000001</v>
      </c>
      <c r="I16" s="428"/>
      <c r="J16" s="411"/>
      <c r="K16" s="410"/>
      <c r="L16" s="436">
        <f>L8*L67</f>
        <v>39.402660049999994</v>
      </c>
      <c r="M16" s="436">
        <f t="shared" ref="M16:U16" si="16">M8*M67</f>
        <v>58.091134609557614</v>
      </c>
      <c r="N16" s="436">
        <f t="shared" si="16"/>
        <v>76.307884878040355</v>
      </c>
      <c r="O16" s="436">
        <f t="shared" si="16"/>
        <v>95.086251773964776</v>
      </c>
      <c r="P16" s="436">
        <f t="shared" si="16"/>
        <v>115.52257881950914</v>
      </c>
      <c r="Q16" s="436">
        <f t="shared" si="16"/>
        <v>136.07797049281334</v>
      </c>
      <c r="R16" s="436">
        <f t="shared" si="16"/>
        <v>153.79509590173132</v>
      </c>
      <c r="S16" s="436">
        <f t="shared" si="16"/>
        <v>167.98544695481024</v>
      </c>
      <c r="T16" s="436">
        <f t="shared" si="16"/>
        <v>175.32991344197504</v>
      </c>
      <c r="U16" s="436">
        <f t="shared" si="16"/>
        <v>184.09640911407388</v>
      </c>
      <c r="V16" s="425"/>
    </row>
    <row r="17" spans="2:22" ht="16">
      <c r="B17" s="396" t="s">
        <v>141</v>
      </c>
      <c r="C17" s="397"/>
      <c r="D17" s="397"/>
      <c r="E17" s="397"/>
      <c r="F17" s="430">
        <f>F14-F16</f>
        <v>-94.137</v>
      </c>
      <c r="G17" s="430">
        <f t="shared" ref="G17:H17" si="17">G14-G16</f>
        <v>-166.87700000000001</v>
      </c>
      <c r="H17" s="430">
        <f t="shared" si="17"/>
        <v>-252.08799999999991</v>
      </c>
      <c r="I17" s="413">
        <f>-IFERROR((H17/F17)^(1/($H$6-$F$6))-1,0)</f>
        <v>-0.63642426040084965</v>
      </c>
      <c r="J17" s="414"/>
      <c r="K17" s="415"/>
      <c r="L17" s="431">
        <f>L14-L16</f>
        <v>-247.76918541070211</v>
      </c>
      <c r="M17" s="430">
        <f t="shared" ref="M17:U17" si="18">M14-M16</f>
        <v>-132.44430067453203</v>
      </c>
      <c r="N17" s="430">
        <f t="shared" si="18"/>
        <v>38.773697933923117</v>
      </c>
      <c r="O17" s="430">
        <f t="shared" si="18"/>
        <v>224.73810112213658</v>
      </c>
      <c r="P17" s="430">
        <f t="shared" si="18"/>
        <v>668.10463256574167</v>
      </c>
      <c r="Q17" s="430">
        <f t="shared" si="18"/>
        <v>1223.308538247735</v>
      </c>
      <c r="R17" s="430">
        <f t="shared" si="18"/>
        <v>1798.6974918923147</v>
      </c>
      <c r="S17" s="430">
        <f t="shared" si="18"/>
        <v>2329.1424979892131</v>
      </c>
      <c r="T17" s="430">
        <f t="shared" si="18"/>
        <v>2871.6933226569968</v>
      </c>
      <c r="U17" s="430">
        <f t="shared" si="18"/>
        <v>3168.6398473562481</v>
      </c>
      <c r="V17" s="413">
        <f>-IFERROR((U17/L17)^(1/($U$6-$L$6))-1,0)</f>
        <v>2.327335227438271</v>
      </c>
    </row>
    <row r="18" spans="2:22" ht="16">
      <c r="B18" s="418" t="s">
        <v>139</v>
      </c>
      <c r="C18" s="419"/>
      <c r="D18" s="419"/>
      <c r="E18" s="419"/>
      <c r="F18" s="432">
        <f>IFERROR(F17/F8,0)</f>
        <v>-0.25780505438890533</v>
      </c>
      <c r="G18" s="432">
        <f t="shared" ref="G18:U18" si="19">IFERROR(G17/G8,0)</f>
        <v>-0.19429832221407198</v>
      </c>
      <c r="H18" s="432">
        <f t="shared" si="19"/>
        <v>-0.12891447413840268</v>
      </c>
      <c r="I18" s="433"/>
      <c r="J18" s="434"/>
      <c r="K18" s="435"/>
      <c r="L18" s="434">
        <f t="shared" si="19"/>
        <v>-6.2881334685601295E-2</v>
      </c>
      <c r="M18" s="432">
        <f t="shared" si="19"/>
        <v>-2.1897742925487022E-2</v>
      </c>
      <c r="N18" s="432">
        <f t="shared" si="19"/>
        <v>4.679319870669856E-3</v>
      </c>
      <c r="O18" s="432">
        <f t="shared" si="19"/>
        <v>2.0831053489196574E-2</v>
      </c>
      <c r="P18" s="432">
        <f t="shared" si="19"/>
        <v>4.8684632811497548E-2</v>
      </c>
      <c r="Q18" s="432">
        <f t="shared" si="19"/>
        <v>7.2121533415036368E-2</v>
      </c>
      <c r="R18" s="432">
        <f t="shared" si="19"/>
        <v>8.9202757050134848E-2</v>
      </c>
      <c r="S18" s="432">
        <f t="shared" si="19"/>
        <v>0.10026831786524781</v>
      </c>
      <c r="T18" s="432">
        <f t="shared" si="19"/>
        <v>0.11196887583383901</v>
      </c>
      <c r="U18" s="432">
        <f t="shared" si="19"/>
        <v>0.11766379184599744</v>
      </c>
      <c r="V18" s="425"/>
    </row>
    <row r="19" spans="2:22" ht="16">
      <c r="B19" s="397" t="s">
        <v>143</v>
      </c>
      <c r="C19" s="397"/>
      <c r="D19" s="397"/>
      <c r="E19" s="397"/>
      <c r="F19" s="427">
        <v>0</v>
      </c>
      <c r="G19" s="427">
        <v>0</v>
      </c>
      <c r="H19" s="427">
        <v>0</v>
      </c>
      <c r="I19" s="428"/>
      <c r="J19" s="411"/>
      <c r="K19" s="410"/>
      <c r="L19" s="436">
        <v>0</v>
      </c>
      <c r="M19" s="437">
        <v>0</v>
      </c>
      <c r="N19" s="437">
        <f>N17*0.21</f>
        <v>8.1424765661238538</v>
      </c>
      <c r="O19" s="437">
        <f t="shared" ref="O19:Q19" si="20">O17*0.21</f>
        <v>47.195001235648682</v>
      </c>
      <c r="P19" s="437">
        <f t="shared" si="20"/>
        <v>140.30197283880574</v>
      </c>
      <c r="Q19" s="437">
        <f t="shared" si="20"/>
        <v>256.89479303202432</v>
      </c>
      <c r="R19" s="437">
        <f>R17*0.28</f>
        <v>503.63529772984816</v>
      </c>
      <c r="S19" s="437">
        <f t="shared" ref="S19:U19" si="21">S17*0.28</f>
        <v>652.15989943697969</v>
      </c>
      <c r="T19" s="437">
        <f t="shared" si="21"/>
        <v>804.07413034395915</v>
      </c>
      <c r="U19" s="437">
        <f t="shared" si="21"/>
        <v>887.21915725974952</v>
      </c>
      <c r="V19" s="425"/>
    </row>
    <row r="20" spans="2:22" ht="16">
      <c r="B20" s="396" t="s">
        <v>144</v>
      </c>
      <c r="C20" s="397"/>
      <c r="D20" s="397"/>
      <c r="E20" s="397"/>
      <c r="F20" s="430">
        <f>F17-F19</f>
        <v>-94.137</v>
      </c>
      <c r="G20" s="430">
        <f t="shared" ref="G20:H20" si="22">G17-G19</f>
        <v>-166.87700000000001</v>
      </c>
      <c r="H20" s="430">
        <f t="shared" si="22"/>
        <v>-252.08799999999991</v>
      </c>
      <c r="I20" s="413">
        <f>-IFERROR((H20/F20)^(1/($H$6-$F$6))-1,0)</f>
        <v>-0.63642426040084965</v>
      </c>
      <c r="J20" s="414"/>
      <c r="K20" s="415"/>
      <c r="L20" s="431">
        <f t="shared" ref="L20:U20" si="23">L17-L19</f>
        <v>-247.76918541070211</v>
      </c>
      <c r="M20" s="430">
        <f t="shared" si="23"/>
        <v>-132.44430067453203</v>
      </c>
      <c r="N20" s="430">
        <f t="shared" si="23"/>
        <v>30.631221367799263</v>
      </c>
      <c r="O20" s="430">
        <f t="shared" si="23"/>
        <v>177.54309988648791</v>
      </c>
      <c r="P20" s="430">
        <f t="shared" si="23"/>
        <v>527.80265972693587</v>
      </c>
      <c r="Q20" s="430">
        <f t="shared" si="23"/>
        <v>966.41374521571061</v>
      </c>
      <c r="R20" s="430">
        <f t="shared" si="23"/>
        <v>1295.0621941624665</v>
      </c>
      <c r="S20" s="430">
        <f t="shared" si="23"/>
        <v>1676.9825985522334</v>
      </c>
      <c r="T20" s="430">
        <f t="shared" si="23"/>
        <v>2067.6191923130377</v>
      </c>
      <c r="U20" s="430">
        <f t="shared" si="23"/>
        <v>2281.4206900964987</v>
      </c>
      <c r="V20" s="413">
        <f>-IFERROR((U20/L20)^(1/($U$6-$L$6))-1,0)</f>
        <v>2.2797604245426566</v>
      </c>
    </row>
    <row r="21" spans="2:22" ht="5" customHeight="1">
      <c r="B21" s="397"/>
      <c r="C21" s="397"/>
      <c r="D21" s="397"/>
      <c r="E21" s="397"/>
      <c r="F21" s="397"/>
      <c r="G21" s="397"/>
      <c r="H21" s="397"/>
      <c r="I21" s="411"/>
      <c r="J21" s="411"/>
      <c r="K21" s="410"/>
      <c r="L21" s="411"/>
      <c r="M21" s="397"/>
      <c r="N21" s="397"/>
      <c r="O21" s="397"/>
      <c r="P21" s="397"/>
      <c r="Q21" s="397"/>
      <c r="R21" s="397"/>
      <c r="S21" s="397"/>
      <c r="T21" s="397"/>
      <c r="U21" s="397"/>
      <c r="V21" s="397"/>
    </row>
    <row r="22" spans="2:22" ht="16">
      <c r="B22" s="397" t="s">
        <v>145</v>
      </c>
      <c r="C22" s="397"/>
      <c r="D22" s="397"/>
      <c r="E22" s="397"/>
      <c r="F22" s="438">
        <f>F16</f>
        <v>4.6580000000000004</v>
      </c>
      <c r="G22" s="438">
        <f t="shared" ref="G22:U22" si="24">G16</f>
        <v>11.568</v>
      </c>
      <c r="H22" s="438">
        <f t="shared" si="24"/>
        <v>23.539000000000001</v>
      </c>
      <c r="I22" s="439"/>
      <c r="J22" s="439"/>
      <c r="K22" s="440"/>
      <c r="L22" s="441">
        <f t="shared" si="24"/>
        <v>39.402660049999994</v>
      </c>
      <c r="M22" s="438">
        <f t="shared" si="24"/>
        <v>58.091134609557614</v>
      </c>
      <c r="N22" s="438">
        <f t="shared" si="24"/>
        <v>76.307884878040355</v>
      </c>
      <c r="O22" s="438">
        <f t="shared" si="24"/>
        <v>95.086251773964776</v>
      </c>
      <c r="P22" s="438">
        <f t="shared" si="24"/>
        <v>115.52257881950914</v>
      </c>
      <c r="Q22" s="438">
        <f t="shared" si="24"/>
        <v>136.07797049281334</v>
      </c>
      <c r="R22" s="438">
        <f t="shared" si="24"/>
        <v>153.79509590173132</v>
      </c>
      <c r="S22" s="438">
        <f t="shared" si="24"/>
        <v>167.98544695481024</v>
      </c>
      <c r="T22" s="438">
        <f t="shared" si="24"/>
        <v>175.32991344197504</v>
      </c>
      <c r="U22" s="438">
        <f t="shared" si="24"/>
        <v>184.09640911407388</v>
      </c>
      <c r="V22" s="397"/>
    </row>
    <row r="23" spans="2:22" ht="16">
      <c r="B23" s="397" t="s">
        <v>146</v>
      </c>
      <c r="C23" s="397"/>
      <c r="D23" s="397"/>
      <c r="E23" s="397"/>
      <c r="F23" s="442">
        <v>-39.539000000000001</v>
      </c>
      <c r="G23" s="442">
        <v>-78.489999999999995</v>
      </c>
      <c r="H23" s="442">
        <v>-143.66800000000001</v>
      </c>
      <c r="I23" s="411"/>
      <c r="J23" s="411"/>
      <c r="K23" s="410"/>
      <c r="L23" s="443">
        <f>-L8*L68</f>
        <v>-175.42952072817934</v>
      </c>
      <c r="M23" s="444">
        <f t="shared" ref="M23:U23" si="25">-M8*M68</f>
        <v>-196.59560991567412</v>
      </c>
      <c r="N23" s="444">
        <f t="shared" si="25"/>
        <v>-195.11740119119253</v>
      </c>
      <c r="O23" s="444">
        <f t="shared" si="25"/>
        <v>-171.32193484086275</v>
      </c>
      <c r="P23" s="444">
        <f t="shared" si="25"/>
        <v>-165.85908520948112</v>
      </c>
      <c r="Q23" s="444">
        <f t="shared" si="25"/>
        <v>-205.00182931891865</v>
      </c>
      <c r="R23" s="444">
        <f t="shared" si="25"/>
        <v>-243.70617469433051</v>
      </c>
      <c r="S23" s="444">
        <f t="shared" si="25"/>
        <v>-280.74951324786872</v>
      </c>
      <c r="T23" s="444">
        <f t="shared" si="25"/>
        <v>-309.97553757697193</v>
      </c>
      <c r="U23" s="444">
        <f t="shared" si="25"/>
        <v>-325.47431445582049</v>
      </c>
      <c r="V23" s="397"/>
    </row>
    <row r="24" spans="2:22" ht="16">
      <c r="B24" s="397" t="s">
        <v>147</v>
      </c>
      <c r="C24" s="397"/>
      <c r="D24" s="397"/>
      <c r="E24" s="397"/>
      <c r="F24" s="445" t="str">
        <f>NWC!E25</f>
        <v>NA</v>
      </c>
      <c r="G24" s="441">
        <f>NWC!F25</f>
        <v>8.2649999999999864</v>
      </c>
      <c r="H24" s="441">
        <f>NWC!G25</f>
        <v>-254.072</v>
      </c>
      <c r="I24" s="411"/>
      <c r="J24" s="446"/>
      <c r="K24" s="411"/>
      <c r="L24" s="447">
        <f>NWC!H25</f>
        <v>-339.20599061300862</v>
      </c>
      <c r="M24" s="447">
        <f>NWC!I25</f>
        <v>-296.08320498803641</v>
      </c>
      <c r="N24" s="447">
        <f>NWC!J25</f>
        <v>-306.93067925823641</v>
      </c>
      <c r="O24" s="447">
        <f>NWC!K25</f>
        <v>-330.58963549436271</v>
      </c>
      <c r="P24" s="447">
        <f>NWC!L25</f>
        <v>-381.21219447379917</v>
      </c>
      <c r="Q24" s="447">
        <f>NWC!M25</f>
        <v>-410.17962129874832</v>
      </c>
      <c r="R24" s="447">
        <f>NWC!N25</f>
        <v>-411.17131034126669</v>
      </c>
      <c r="S24" s="447">
        <f>NWC!O25</f>
        <v>-384.21503124772971</v>
      </c>
      <c r="T24" s="447">
        <f>NWC!P25</f>
        <v>-290.17164347096514</v>
      </c>
      <c r="U24" s="447">
        <f>NWC!Q25</f>
        <v>-133.20869320872862</v>
      </c>
      <c r="V24" s="397"/>
    </row>
    <row r="25" spans="2:22" ht="5" customHeight="1">
      <c r="B25" s="397"/>
      <c r="C25" s="397"/>
      <c r="D25" s="397"/>
      <c r="E25" s="397"/>
      <c r="F25" s="397"/>
      <c r="G25" s="397"/>
      <c r="H25" s="397"/>
      <c r="I25" s="397"/>
      <c r="J25" s="411"/>
      <c r="K25" s="411"/>
      <c r="L25" s="441"/>
      <c r="M25" s="438"/>
      <c r="N25" s="438"/>
      <c r="O25" s="438"/>
      <c r="P25" s="438"/>
      <c r="Q25" s="438"/>
      <c r="R25" s="438"/>
      <c r="S25" s="438"/>
      <c r="T25" s="438"/>
      <c r="U25" s="438"/>
      <c r="V25" s="397"/>
    </row>
    <row r="26" spans="2:22" ht="16">
      <c r="B26" s="396" t="s">
        <v>148</v>
      </c>
      <c r="C26" s="397"/>
      <c r="D26" s="397"/>
      <c r="E26" s="397"/>
      <c r="F26" s="430"/>
      <c r="G26" s="430"/>
      <c r="H26" s="430"/>
      <c r="I26" s="397"/>
      <c r="J26" s="411"/>
      <c r="K26" s="411"/>
      <c r="L26" s="430">
        <f>L20+SUM(L22:L24)</f>
        <v>-723.00203670189012</v>
      </c>
      <c r="M26" s="430">
        <f>M20+SUM(M22:M24)</f>
        <v>-567.03198096868493</v>
      </c>
      <c r="N26" s="430">
        <f t="shared" ref="N26:U26" si="26">N20+SUM(N22:N24)</f>
        <v>-395.10897420358936</v>
      </c>
      <c r="O26" s="430">
        <f t="shared" si="26"/>
        <v>-229.28221867477279</v>
      </c>
      <c r="P26" s="430">
        <f t="shared" si="26"/>
        <v>96.253958863164712</v>
      </c>
      <c r="Q26" s="430">
        <f t="shared" si="26"/>
        <v>487.310265090857</v>
      </c>
      <c r="R26" s="430">
        <f t="shared" si="26"/>
        <v>793.97980502860059</v>
      </c>
      <c r="S26" s="430">
        <f t="shared" si="26"/>
        <v>1180.0035010114452</v>
      </c>
      <c r="T26" s="430">
        <f t="shared" si="26"/>
        <v>1642.8019247070756</v>
      </c>
      <c r="U26" s="430">
        <f t="shared" si="26"/>
        <v>2006.8340915460235</v>
      </c>
      <c r="V26" s="397"/>
    </row>
    <row r="27" spans="2:22" ht="16">
      <c r="B27" s="397" t="s">
        <v>149</v>
      </c>
      <c r="C27" s="397"/>
      <c r="D27" s="397"/>
      <c r="E27" s="448"/>
      <c r="F27" s="449">
        <f>WACC!G25</f>
        <v>0.12270926400000001</v>
      </c>
      <c r="G27" s="397"/>
      <c r="H27" s="397"/>
      <c r="I27" s="397"/>
      <c r="J27" s="411"/>
      <c r="K27" s="411"/>
      <c r="L27" s="411"/>
      <c r="M27" s="397"/>
      <c r="N27" s="397"/>
      <c r="O27" s="397"/>
      <c r="P27" s="397"/>
      <c r="Q27" s="397"/>
      <c r="R27" s="397"/>
      <c r="S27" s="397"/>
      <c r="T27" s="397"/>
      <c r="U27" s="397"/>
      <c r="V27" s="397"/>
    </row>
    <row r="28" spans="2:22" ht="16">
      <c r="B28" s="397" t="s">
        <v>150</v>
      </c>
      <c r="C28" s="397"/>
      <c r="D28" s="397"/>
      <c r="E28" s="397"/>
      <c r="F28" s="397"/>
      <c r="G28" s="397"/>
      <c r="H28" s="397"/>
      <c r="I28" s="397"/>
      <c r="J28" s="411"/>
      <c r="K28" s="411"/>
      <c r="L28" s="411"/>
      <c r="M28" s="397">
        <v>1</v>
      </c>
      <c r="N28" s="397">
        <v>2</v>
      </c>
      <c r="O28" s="397">
        <v>3</v>
      </c>
      <c r="P28" s="397">
        <v>4</v>
      </c>
      <c r="Q28" s="397">
        <v>5</v>
      </c>
      <c r="R28" s="397">
        <v>6</v>
      </c>
      <c r="S28" s="397">
        <v>7</v>
      </c>
      <c r="T28" s="397">
        <v>8</v>
      </c>
      <c r="U28" s="397">
        <v>9</v>
      </c>
      <c r="V28" s="397"/>
    </row>
    <row r="29" spans="2:22" ht="16">
      <c r="B29" s="397" t="s">
        <v>151</v>
      </c>
      <c r="C29" s="397"/>
      <c r="D29" s="397"/>
      <c r="E29" s="397"/>
      <c r="F29" s="397"/>
      <c r="G29" s="397"/>
      <c r="H29" s="397"/>
      <c r="I29" s="397"/>
      <c r="J29" s="411"/>
      <c r="K29" s="411"/>
      <c r="L29" s="450"/>
      <c r="M29" s="451">
        <f t="shared" ref="M29:U29" si="27">1/((1+$F$27)^(M28))</f>
        <v>0.89070254612239486</v>
      </c>
      <c r="N29" s="451">
        <f t="shared" si="27"/>
        <v>0.79335102566891691</v>
      </c>
      <c r="O29" s="451">
        <f t="shared" si="27"/>
        <v>0.70663977853211779</v>
      </c>
      <c r="P29" s="451">
        <f t="shared" si="27"/>
        <v>0.62940584992992255</v>
      </c>
      <c r="Q29" s="451">
        <f t="shared" si="27"/>
        <v>0.56061339307691194</v>
      </c>
      <c r="R29" s="451">
        <f t="shared" si="27"/>
        <v>0.49933977660392043</v>
      </c>
      <c r="S29" s="451">
        <f t="shared" si="27"/>
        <v>0.44476321040129979</v>
      </c>
      <c r="T29" s="451">
        <f t="shared" si="27"/>
        <v>0.39615172392600811</v>
      </c>
      <c r="U29" s="451">
        <f t="shared" si="27"/>
        <v>0.35285334915167149</v>
      </c>
      <c r="V29" s="397"/>
    </row>
    <row r="30" spans="2:22" ht="16">
      <c r="B30" s="452" t="s">
        <v>152</v>
      </c>
      <c r="C30" s="453"/>
      <c r="D30" s="453"/>
      <c r="E30" s="453"/>
      <c r="F30" s="453"/>
      <c r="G30" s="453"/>
      <c r="H30" s="453"/>
      <c r="I30" s="453"/>
      <c r="J30" s="454"/>
      <c r="K30" s="454"/>
      <c r="L30" s="455"/>
      <c r="M30" s="455">
        <f t="shared" ref="M30:U30" si="28">M26*M29</f>
        <v>-505.05682918163302</v>
      </c>
      <c r="N30" s="455">
        <f t="shared" si="28"/>
        <v>-313.46010993541125</v>
      </c>
      <c r="O30" s="455">
        <f t="shared" si="28"/>
        <v>-162.01993622569404</v>
      </c>
      <c r="P30" s="455">
        <f t="shared" si="28"/>
        <v>60.582804787389989</v>
      </c>
      <c r="Q30" s="455">
        <f t="shared" si="28"/>
        <v>273.19266119379478</v>
      </c>
      <c r="R30" s="455">
        <f t="shared" si="28"/>
        <v>396.46569847100574</v>
      </c>
      <c r="S30" s="455">
        <f t="shared" si="28"/>
        <v>524.82214539462382</v>
      </c>
      <c r="T30" s="455">
        <f t="shared" si="28"/>
        <v>650.79881454167219</v>
      </c>
      <c r="U30" s="455">
        <f t="shared" si="28"/>
        <v>708.11813039376648</v>
      </c>
      <c r="V30" s="397"/>
    </row>
    <row r="33" spans="2:22">
      <c r="B33" s="45"/>
      <c r="C33" s="45"/>
      <c r="D33" s="45"/>
      <c r="E33" s="45"/>
      <c r="F33" s="53" t="s">
        <v>177</v>
      </c>
      <c r="G33" s="45"/>
      <c r="H33" s="45"/>
      <c r="I33" s="45"/>
      <c r="J33" s="45"/>
      <c r="K33" s="45"/>
      <c r="L33" s="45"/>
      <c r="N33" s="45"/>
      <c r="O33" s="45"/>
      <c r="P33" s="45"/>
      <c r="Q33" s="45"/>
      <c r="R33" s="53" t="s">
        <v>178</v>
      </c>
      <c r="S33" s="45"/>
      <c r="T33" s="45"/>
      <c r="U33" s="45"/>
      <c r="V33" s="45"/>
    </row>
    <row r="34" spans="2:22" ht="5" customHeight="1"/>
    <row r="35" spans="2:22">
      <c r="B35" s="474" t="s">
        <v>164</v>
      </c>
      <c r="C35" s="474"/>
      <c r="D35" s="474"/>
      <c r="E35" s="474"/>
      <c r="G35" s="474" t="s">
        <v>165</v>
      </c>
      <c r="H35" s="474"/>
      <c r="I35" s="474"/>
      <c r="J35" s="474"/>
      <c r="K35" s="474"/>
      <c r="L35" s="474"/>
      <c r="N35" s="474" t="s">
        <v>164</v>
      </c>
      <c r="O35" s="474"/>
      <c r="P35" s="474"/>
      <c r="Q35" s="474"/>
      <c r="S35" s="474" t="s">
        <v>165</v>
      </c>
      <c r="T35" s="474"/>
      <c r="U35" s="474"/>
      <c r="V35" s="474"/>
    </row>
    <row r="36" spans="2:22">
      <c r="B36" s="11" t="s">
        <v>166</v>
      </c>
      <c r="C36" s="11"/>
      <c r="D36" s="11"/>
      <c r="E36" s="29">
        <f>SUM(M30:U30)</f>
        <v>1633.4433794395145</v>
      </c>
      <c r="G36" t="s">
        <v>164</v>
      </c>
      <c r="L36" s="32">
        <f>E46</f>
        <v>13321.722642587287</v>
      </c>
      <c r="N36" s="11" t="s">
        <v>166</v>
      </c>
      <c r="O36" s="11"/>
      <c r="P36" s="11"/>
      <c r="Q36" s="29">
        <f>SUM(M30:U30)</f>
        <v>1633.4433794395145</v>
      </c>
      <c r="S36" t="s">
        <v>164</v>
      </c>
      <c r="V36" s="32">
        <f>Q47</f>
        <v>11859.431046065529</v>
      </c>
    </row>
    <row r="37" spans="2:22">
      <c r="G37" t="s">
        <v>170</v>
      </c>
      <c r="L37" s="33">
        <v>-1166.2829999999999</v>
      </c>
      <c r="S37" t="s">
        <v>170</v>
      </c>
      <c r="V37" s="33">
        <f>L37</f>
        <v>-1166.2829999999999</v>
      </c>
    </row>
    <row r="38" spans="2:22">
      <c r="B38" s="27" t="s">
        <v>167</v>
      </c>
      <c r="C38" s="25"/>
      <c r="D38" s="25"/>
      <c r="E38" s="25"/>
      <c r="G38" t="s">
        <v>171</v>
      </c>
      <c r="L38" s="33">
        <v>0</v>
      </c>
      <c r="N38" s="27" t="s">
        <v>167</v>
      </c>
      <c r="O38" s="25"/>
      <c r="P38" s="25"/>
      <c r="Q38" s="25"/>
      <c r="S38" t="s">
        <v>171</v>
      </c>
      <c r="V38" s="33">
        <f>L38</f>
        <v>0</v>
      </c>
    </row>
    <row r="39" spans="2:22">
      <c r="B39" t="s">
        <v>168</v>
      </c>
      <c r="E39" s="16">
        <f>U14</f>
        <v>3352.7362564703221</v>
      </c>
      <c r="G39" t="s">
        <v>172</v>
      </c>
      <c r="L39" s="33">
        <v>-205.64599999999999</v>
      </c>
      <c r="N39" t="s">
        <v>179</v>
      </c>
      <c r="Q39" s="16">
        <f>U26</f>
        <v>2006.8340915460235</v>
      </c>
      <c r="S39" t="s">
        <v>172</v>
      </c>
      <c r="V39" s="33">
        <f>L39</f>
        <v>-205.64599999999999</v>
      </c>
    </row>
    <row r="40" spans="2:22">
      <c r="B40" t="s">
        <v>257</v>
      </c>
      <c r="E40" s="28">
        <v>9.8800000000000008</v>
      </c>
      <c r="G40" t="s">
        <v>173</v>
      </c>
      <c r="L40" s="20">
        <v>94.942999999999998</v>
      </c>
      <c r="N40" t="s">
        <v>149</v>
      </c>
      <c r="Q40" s="133">
        <f>F27</f>
        <v>0.12270926400000001</v>
      </c>
      <c r="S40" t="s">
        <v>173</v>
      </c>
      <c r="V40" s="20">
        <f>L40</f>
        <v>94.942999999999998</v>
      </c>
    </row>
    <row r="41" spans="2:22">
      <c r="B41" s="11" t="s">
        <v>181</v>
      </c>
      <c r="C41" s="11"/>
      <c r="D41" s="11"/>
      <c r="E41" s="29">
        <f>E39*E40</f>
        <v>33125.034213926789</v>
      </c>
      <c r="N41" t="s">
        <v>180</v>
      </c>
      <c r="Q41" s="134">
        <v>0.05</v>
      </c>
    </row>
    <row r="42" spans="2:22">
      <c r="B42" t="s">
        <v>151</v>
      </c>
      <c r="E42" s="127">
        <f>1/((1+$F$27)^(U6-L6))</f>
        <v>0.35285334915167149</v>
      </c>
      <c r="G42" s="11" t="s">
        <v>174</v>
      </c>
      <c r="H42" s="11"/>
      <c r="I42" s="11"/>
      <c r="J42" s="11"/>
      <c r="K42" s="11"/>
      <c r="L42" s="31">
        <f>SUM(L36:L40)</f>
        <v>12044.736642587286</v>
      </c>
      <c r="N42" s="11" t="s">
        <v>181</v>
      </c>
      <c r="Q42" s="29">
        <f>IFERROR((Q39*(1+Q41))/(Q40-Q41),0)</f>
        <v>28980.843433146627</v>
      </c>
      <c r="S42" s="11" t="s">
        <v>174</v>
      </c>
      <c r="T42" s="11"/>
      <c r="U42" s="11"/>
      <c r="V42" s="31">
        <f>SUM(V36:V40)</f>
        <v>10582.445046065528</v>
      </c>
    </row>
    <row r="43" spans="2:22">
      <c r="B43" s="11" t="s">
        <v>182</v>
      </c>
      <c r="C43" s="11"/>
      <c r="D43" s="11"/>
      <c r="E43" s="29">
        <f>E41*E42</f>
        <v>11688.279263147773</v>
      </c>
      <c r="N43" t="s">
        <v>151</v>
      </c>
      <c r="Q43" s="127">
        <f>1/((1+$F$27)^(U6-L6))</f>
        <v>0.35285334915167149</v>
      </c>
    </row>
    <row r="44" spans="2:22">
      <c r="B44" s="30" t="s">
        <v>169</v>
      </c>
      <c r="E44" s="132">
        <f>IFERROR(E43/E46,0)</f>
        <v>0.87738497315522301</v>
      </c>
      <c r="G44" t="s">
        <v>176</v>
      </c>
      <c r="L44" s="137">
        <v>151.5641</v>
      </c>
      <c r="N44" s="11" t="s">
        <v>182</v>
      </c>
      <c r="Q44" s="29">
        <f>Q42*Q43</f>
        <v>10225.987666626013</v>
      </c>
      <c r="S44" t="s">
        <v>176</v>
      </c>
      <c r="V44" s="154">
        <f>L44</f>
        <v>151.5641</v>
      </c>
    </row>
    <row r="45" spans="2:22">
      <c r="G45" t="s">
        <v>243</v>
      </c>
      <c r="N45" s="30" t="s">
        <v>169</v>
      </c>
      <c r="Q45" s="132">
        <f>IFERROR(Q44/Q47,0)</f>
        <v>0.86226629480834793</v>
      </c>
    </row>
    <row r="46" spans="2:22">
      <c r="B46" s="11" t="s">
        <v>183</v>
      </c>
      <c r="C46" s="11"/>
      <c r="D46" s="11"/>
      <c r="E46" s="31">
        <f>E43+E36</f>
        <v>13321.722642587287</v>
      </c>
      <c r="G46" s="11" t="s">
        <v>175</v>
      </c>
      <c r="H46" s="11"/>
      <c r="I46" s="11"/>
      <c r="J46" s="11"/>
      <c r="K46" s="11"/>
      <c r="L46" s="31">
        <f>IFERROR(L42/L44,0)</f>
        <v>79.46958839584893</v>
      </c>
      <c r="S46" s="11" t="s">
        <v>175</v>
      </c>
      <c r="T46" s="11"/>
      <c r="U46" s="11"/>
      <c r="V46" s="31">
        <f>IFERROR(V42/V44,0)</f>
        <v>69.821580744157274</v>
      </c>
    </row>
    <row r="47" spans="2:22">
      <c r="N47" s="11" t="s">
        <v>183</v>
      </c>
      <c r="O47" s="11"/>
      <c r="P47" s="11"/>
      <c r="Q47" s="31">
        <f>Q44+Q36</f>
        <v>11859.431046065529</v>
      </c>
    </row>
    <row r="49" spans="2:22">
      <c r="D49" s="18"/>
      <c r="E49" s="18"/>
      <c r="F49" s="18"/>
      <c r="G49" s="18"/>
      <c r="H49" s="18"/>
      <c r="I49" s="18"/>
      <c r="J49" s="18"/>
      <c r="K49" s="18"/>
    </row>
    <row r="50" spans="2:22">
      <c r="C50" s="140"/>
      <c r="D50" s="474" t="s">
        <v>245</v>
      </c>
      <c r="E50" s="474"/>
      <c r="F50" s="474"/>
      <c r="G50" s="474"/>
      <c r="H50" s="474"/>
      <c r="I50" s="474"/>
      <c r="J50" s="138"/>
      <c r="K50" s="138"/>
      <c r="O50" s="140"/>
      <c r="P50" s="474" t="s">
        <v>175</v>
      </c>
      <c r="Q50" s="474"/>
      <c r="R50" s="474"/>
      <c r="S50" s="474"/>
      <c r="T50" s="474"/>
      <c r="U50" s="474"/>
    </row>
    <row r="51" spans="2:22">
      <c r="D51" s="34"/>
      <c r="E51" s="475" t="s">
        <v>184</v>
      </c>
      <c r="F51" s="475"/>
      <c r="G51" s="475"/>
      <c r="H51" s="475"/>
      <c r="I51" s="475"/>
      <c r="J51" s="139"/>
      <c r="K51" s="139"/>
      <c r="P51" s="34"/>
      <c r="Q51" s="475" t="s">
        <v>180</v>
      </c>
      <c r="R51" s="475"/>
      <c r="S51" s="475"/>
      <c r="T51" s="475"/>
      <c r="U51" s="475"/>
    </row>
    <row r="52" spans="2:22" ht="16">
      <c r="D52" s="151">
        <f>E46</f>
        <v>13321.722642587287</v>
      </c>
      <c r="E52" s="147">
        <f>+F52-1</f>
        <v>7.8800000000000008</v>
      </c>
      <c r="F52" s="147">
        <f>G52-1</f>
        <v>8.8800000000000008</v>
      </c>
      <c r="G52" s="148">
        <v>9.8800000000000008</v>
      </c>
      <c r="H52" s="147">
        <f>G52+1</f>
        <v>10.88</v>
      </c>
      <c r="I52" s="147">
        <f>H52+1</f>
        <v>11.88</v>
      </c>
      <c r="J52" s="18"/>
      <c r="K52" s="18"/>
      <c r="P52" s="151">
        <f>V46</f>
        <v>69.821580744157274</v>
      </c>
      <c r="Q52" s="149">
        <f>R52-0.005</f>
        <v>4.0000000000000008E-2</v>
      </c>
      <c r="R52" s="149">
        <f>S52-0.005</f>
        <v>4.5000000000000005E-2</v>
      </c>
      <c r="S52" s="150">
        <v>0.05</v>
      </c>
      <c r="T52" s="149">
        <f>S52+0.005</f>
        <v>5.5E-2</v>
      </c>
      <c r="U52" s="149">
        <f>T52+0.005</f>
        <v>0.06</v>
      </c>
    </row>
    <row r="53" spans="2:22" ht="15.75" customHeight="1">
      <c r="C53" s="473" t="s">
        <v>149</v>
      </c>
      <c r="D53" s="152">
        <f>D54-0.005</f>
        <v>0.112709264</v>
      </c>
      <c r="E53" s="141">
        <f t="dataTable" ref="E53:I57" dt2D="1" dtr="1" r1="E40" r2="F27"/>
        <v>11900.923107298075</v>
      </c>
      <c r="F53" s="141">
        <v>13183.147564570923</v>
      </c>
      <c r="G53" s="141">
        <v>14465.372021843772</v>
      </c>
      <c r="H53" s="141">
        <v>15747.596479116619</v>
      </c>
      <c r="I53" s="141">
        <v>17029.820936389468</v>
      </c>
      <c r="O53" s="473" t="s">
        <v>149</v>
      </c>
      <c r="P53" s="152">
        <f>P54-0.005</f>
        <v>0.112709264</v>
      </c>
      <c r="Q53" s="144">
        <f t="dataTable" ref="Q53:U57" dt2D="1" dtr="1" r1="Q41" r2="F27" ca="1"/>
        <v>75.861763502447943</v>
      </c>
      <c r="R53" s="144">
        <v>81.584367016463858</v>
      </c>
      <c r="S53" s="144">
        <v>88.219531633734945</v>
      </c>
      <c r="T53" s="144">
        <v>96.004453526938534</v>
      </c>
      <c r="U53" s="144">
        <v>105.26633057041775</v>
      </c>
    </row>
    <row r="54" spans="2:22" ht="15.75" customHeight="1">
      <c r="C54" s="473"/>
      <c r="D54" s="152">
        <f>D55-0.005</f>
        <v>0.11770926400000001</v>
      </c>
      <c r="E54" s="141">
        <v>11417.885857893214</v>
      </c>
      <c r="F54" s="143">
        <v>12649.400943145985</v>
      </c>
      <c r="G54" s="143">
        <v>13880.916028398758</v>
      </c>
      <c r="H54" s="143">
        <v>15112.43111365153</v>
      </c>
      <c r="I54" s="141">
        <v>16343.946198904301</v>
      </c>
      <c r="O54" s="473"/>
      <c r="P54" s="152">
        <f>P55-0.005</f>
        <v>0.11770926400000001</v>
      </c>
      <c r="Q54" s="144">
        <v>67.970633101713844</v>
      </c>
      <c r="R54" s="145">
        <v>72.781150402373854</v>
      </c>
      <c r="S54" s="145">
        <v>78.302134338834236</v>
      </c>
      <c r="T54" s="145">
        <v>84.70352789650471</v>
      </c>
      <c r="U54" s="144">
        <v>92.214170318910433</v>
      </c>
    </row>
    <row r="55" spans="2:22" ht="16">
      <c r="C55" s="473"/>
      <c r="D55" s="153">
        <v>0.12270926400000001</v>
      </c>
      <c r="E55" s="141">
        <v>10955.674208751705</v>
      </c>
      <c r="F55" s="143">
        <v>12138.698425669496</v>
      </c>
      <c r="G55" s="142">
        <v>13321.722642587287</v>
      </c>
      <c r="H55" s="143">
        <v>14504.746859505078</v>
      </c>
      <c r="I55" s="141">
        <v>15687.771076422869</v>
      </c>
      <c r="O55" s="473"/>
      <c r="P55" s="153">
        <v>0.12270926400000001</v>
      </c>
      <c r="Q55" s="144">
        <v>61.099245585551074</v>
      </c>
      <c r="R55" s="145">
        <v>65.179805206753898</v>
      </c>
      <c r="S55" s="146">
        <v>69.821580744157274</v>
      </c>
      <c r="T55" s="145">
        <v>75.148901399493582</v>
      </c>
      <c r="U55" s="144">
        <v>81.325748953333502</v>
      </c>
    </row>
    <row r="56" spans="2:22" ht="16">
      <c r="C56" s="473"/>
      <c r="D56" s="152">
        <f>D55+0.005</f>
        <v>0.12770926400000002</v>
      </c>
      <c r="E56" s="141">
        <v>10513.304573309715</v>
      </c>
      <c r="F56" s="143">
        <v>11649.950127991417</v>
      </c>
      <c r="G56" s="143">
        <v>12786.595682673118</v>
      </c>
      <c r="H56" s="143">
        <v>13923.24123735482</v>
      </c>
      <c r="I56" s="141">
        <v>15059.886792036521</v>
      </c>
      <c r="O56" s="473"/>
      <c r="P56" s="152">
        <f>P55+0.005</f>
        <v>0.12770926400000002</v>
      </c>
      <c r="Q56" s="144">
        <v>55.071037271323618</v>
      </c>
      <c r="R56" s="145">
        <v>58.560096336362406</v>
      </c>
      <c r="S56" s="145">
        <v>62.498144220165322</v>
      </c>
      <c r="T56" s="145">
        <v>66.977807802870473</v>
      </c>
      <c r="U56" s="144">
        <v>72.119074143907966</v>
      </c>
    </row>
    <row r="57" spans="2:22" ht="16">
      <c r="C57" s="473"/>
      <c r="D57" s="152">
        <f>+D56+0.005</f>
        <v>0.13270926400000002</v>
      </c>
      <c r="E57" s="141">
        <v>10089.843967964596</v>
      </c>
      <c r="F57" s="141">
        <v>11182.122300922803</v>
      </c>
      <c r="G57" s="141">
        <v>12274.400633881012</v>
      </c>
      <c r="H57" s="141">
        <v>13366.678966839219</v>
      </c>
      <c r="I57" s="141">
        <v>14458.957299797426</v>
      </c>
      <c r="O57" s="473"/>
      <c r="P57" s="152">
        <f>P56+0.005</f>
        <v>0.13270926400000002</v>
      </c>
      <c r="Q57" s="144">
        <v>49.74761781942393</v>
      </c>
      <c r="R57" s="144">
        <v>52.752094999735611</v>
      </c>
      <c r="S57" s="144">
        <v>56.119829817101305</v>
      </c>
      <c r="T57" s="144">
        <v>59.920940868395249</v>
      </c>
      <c r="U57" s="144">
        <v>64.244834140575676</v>
      </c>
    </row>
    <row r="60" spans="2:22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</row>
    <row r="63" spans="2:22">
      <c r="B63" s="37" t="s">
        <v>185</v>
      </c>
    </row>
    <row r="64" spans="2:22">
      <c r="B64" s="38" t="s">
        <v>186</v>
      </c>
      <c r="C64" s="39"/>
      <c r="D64" s="39"/>
      <c r="E64" s="39"/>
      <c r="F64" s="46" t="str">
        <f>F9</f>
        <v>NA</v>
      </c>
      <c r="G64" s="47">
        <f t="shared" ref="G64:H64" si="29">G9</f>
        <v>1.352114758947057</v>
      </c>
      <c r="H64" s="47">
        <f t="shared" si="29"/>
        <v>1.2767904339422729</v>
      </c>
      <c r="I64" s="98"/>
      <c r="J64" s="47"/>
      <c r="K64" s="47"/>
      <c r="L64" s="47">
        <f>'AS1'!F10</f>
        <v>1.0149999999999999</v>
      </c>
      <c r="M64" s="47">
        <f>'AS1'!G10</f>
        <v>0.53500000000000003</v>
      </c>
      <c r="N64" s="47">
        <f>'AS1'!H10</f>
        <v>0.37</v>
      </c>
      <c r="O64" s="47">
        <f>'AS1'!I10</f>
        <v>0.30199999999999999</v>
      </c>
      <c r="P64" s="47">
        <f>'AS1'!J10</f>
        <v>0.27200000000000002</v>
      </c>
      <c r="Q64" s="47">
        <f>'AS1'!K10</f>
        <v>0.23599999999999999</v>
      </c>
      <c r="R64" s="47">
        <f>'AS1'!L10</f>
        <v>0.1888</v>
      </c>
      <c r="S64" s="47">
        <f>'AS1'!M10</f>
        <v>0.152</v>
      </c>
      <c r="T64" s="47">
        <f>'AS1'!N10</f>
        <v>0.1041</v>
      </c>
      <c r="U64" s="48">
        <f>'AS1'!O10</f>
        <v>0.05</v>
      </c>
    </row>
    <row r="65" spans="2:21">
      <c r="B65" s="41" t="s">
        <v>187</v>
      </c>
      <c r="C65" s="42"/>
      <c r="D65" s="42"/>
      <c r="E65" s="42"/>
      <c r="F65" s="49">
        <f>IFERROR(F10/F8,0)</f>
        <v>0.94742679680567876</v>
      </c>
      <c r="G65" s="49">
        <f t="shared" ref="G65:H65" si="30">IFERROR(G10/G8,0)</f>
        <v>0.92072024869887181</v>
      </c>
      <c r="H65" s="49">
        <f t="shared" si="30"/>
        <v>0.89940561512927597</v>
      </c>
      <c r="I65" s="99"/>
      <c r="J65" s="49"/>
      <c r="K65" s="49"/>
      <c r="L65" s="49">
        <f>'AS1'!F15</f>
        <v>0.87226999999999999</v>
      </c>
      <c r="M65" s="49">
        <f>'AS1'!G15</f>
        <v>0.85962000000000005</v>
      </c>
      <c r="N65" s="49">
        <f>'AS1'!H15</f>
        <v>0.85190999999999995</v>
      </c>
      <c r="O65" s="49">
        <f>'AS1'!I15</f>
        <v>0.84299995187912025</v>
      </c>
      <c r="P65" s="49">
        <f>'AS1'!J15</f>
        <v>0.83599999999999997</v>
      </c>
      <c r="Q65" s="49">
        <f>'AS1'!K15</f>
        <v>0.82950000000000002</v>
      </c>
      <c r="R65" s="49">
        <f>'AS1'!L15</f>
        <v>0.82950000000000002</v>
      </c>
      <c r="S65" s="49">
        <f>'AS1'!M15</f>
        <v>0.82950000000000002</v>
      </c>
      <c r="T65" s="49">
        <f>'AS1'!N15</f>
        <v>0.82950000000000002</v>
      </c>
      <c r="U65" s="50">
        <f>'AS1'!O15</f>
        <v>0.82950000000000002</v>
      </c>
    </row>
    <row r="66" spans="2:21">
      <c r="B66" s="41" t="s">
        <v>188</v>
      </c>
      <c r="C66" s="42"/>
      <c r="D66" s="42"/>
      <c r="E66" s="42"/>
      <c r="F66" s="49">
        <f>IFERROR(F13/F8,0)</f>
        <v>0.29762178623462265</v>
      </c>
      <c r="G66" s="49">
        <f t="shared" ref="G66:H66" si="31">IFERROR(G13/G8,0)</f>
        <v>0.26010921326859709</v>
      </c>
      <c r="H66" s="49">
        <f t="shared" si="31"/>
        <v>0.21747132526399063</v>
      </c>
      <c r="I66" s="99"/>
      <c r="J66" s="49"/>
      <c r="K66" s="49"/>
      <c r="L66" s="49">
        <f>'AS1'!F20</f>
        <v>0.18061133468560125</v>
      </c>
      <c r="M66" s="49">
        <f>'AS1'!G20</f>
        <v>0.15267321690623667</v>
      </c>
      <c r="N66" s="49">
        <f>'AS1'!H20</f>
        <v>0.13420162809082956</v>
      </c>
      <c r="O66" s="49">
        <f>'AS1'!I20</f>
        <v>0.12735541657393223</v>
      </c>
      <c r="P66" s="49">
        <f>'AS1'!J20</f>
        <v>0.10689726311150125</v>
      </c>
      <c r="Q66" s="49">
        <f>'AS1'!K20</f>
        <v>9.035583648871201E-2</v>
      </c>
      <c r="R66" s="49">
        <f>'AS1'!L20</f>
        <v>7.3670086834363352E-2</v>
      </c>
      <c r="S66" s="49">
        <f>'AS1'!M20</f>
        <v>6.3E-2</v>
      </c>
      <c r="T66" s="49">
        <f>'AS1'!N20</f>
        <v>5.1694916012158497E-2</v>
      </c>
      <c r="U66" s="50">
        <f>'AS1'!O20</f>
        <v>4.5999999999999999E-2</v>
      </c>
    </row>
    <row r="67" spans="2:21">
      <c r="B67" s="41" t="s">
        <v>189</v>
      </c>
      <c r="C67" s="42"/>
      <c r="D67" s="42"/>
      <c r="E67" s="42"/>
      <c r="F67" s="49">
        <f>IFERROR(F16/F8,0)</f>
        <v>1.2756471348603854E-2</v>
      </c>
      <c r="G67" s="49">
        <f t="shared" ref="G67:H67" si="32">IFERROR(G16/G8,0)</f>
        <v>1.3468860246603095E-2</v>
      </c>
      <c r="H67" s="49">
        <f t="shared" si="32"/>
        <v>1.2037533745136072E-2</v>
      </c>
      <c r="I67" s="99"/>
      <c r="J67" s="49"/>
      <c r="K67" s="49"/>
      <c r="L67" s="49">
        <f>'AS1'!F25</f>
        <v>0.01</v>
      </c>
      <c r="M67" s="49">
        <f>'AS1'!G25</f>
        <v>9.6045260192503118E-3</v>
      </c>
      <c r="N67" s="49">
        <f>'AS1'!H25</f>
        <v>9.2090520385006217E-3</v>
      </c>
      <c r="O67" s="49">
        <f>'AS1'!I25</f>
        <v>8.8135780577509315E-3</v>
      </c>
      <c r="P67" s="49">
        <f>'AS1'!J25</f>
        <v>8.4181040770012414E-3</v>
      </c>
      <c r="Q67" s="49">
        <f>'AS1'!K25</f>
        <v>8.0226300962515512E-3</v>
      </c>
      <c r="R67" s="49">
        <f>'AS1'!L25</f>
        <v>7.6271561155018619E-3</v>
      </c>
      <c r="S67" s="49">
        <f>'AS1'!M25</f>
        <v>7.2316821347521727E-3</v>
      </c>
      <c r="T67" s="49">
        <f>'AS1'!N25</f>
        <v>6.8362081540024834E-3</v>
      </c>
      <c r="U67" s="50">
        <f>'AS1'!O25</f>
        <v>6.836208154002486E-3</v>
      </c>
    </row>
    <row r="68" spans="2:21">
      <c r="B68" s="41" t="s">
        <v>190</v>
      </c>
      <c r="C68" s="42"/>
      <c r="D68" s="42"/>
      <c r="E68" s="42"/>
      <c r="F68" s="49">
        <f>IFERROR(-F23/F8,0)</f>
        <v>0.10828212122207981</v>
      </c>
      <c r="G68" s="49">
        <f t="shared" ref="G68:H68" si="33">IFERROR(-G23/G8,0)</f>
        <v>9.1387520812230019E-2</v>
      </c>
      <c r="H68" s="49">
        <f t="shared" si="33"/>
        <v>7.3469917927533421E-2</v>
      </c>
      <c r="I68" s="99"/>
      <c r="J68" s="49"/>
      <c r="K68" s="49"/>
      <c r="L68" s="49">
        <f>'AS1'!F31</f>
        <v>4.4522253194471666E-2</v>
      </c>
      <c r="M68" s="49">
        <f>'AS1'!G31</f>
        <v>3.2504230867524041E-2</v>
      </c>
      <c r="N68" s="49">
        <f>'AS1'!H31</f>
        <v>2.354732153903254E-2</v>
      </c>
      <c r="O68" s="49">
        <f>'AS1'!I31</f>
        <v>1.5879890284394398E-2</v>
      </c>
      <c r="P68" s="49">
        <f>'AS1'!J31</f>
        <v>1.2086113863429783E-2</v>
      </c>
      <c r="Q68" s="49">
        <f>'AS1'!K31</f>
        <v>1.2086113863429783E-2</v>
      </c>
      <c r="R68" s="49">
        <f>'AS1'!L31</f>
        <v>1.2086113863429783E-2</v>
      </c>
      <c r="S68" s="49">
        <f>'AS1'!M31</f>
        <v>1.2086113863429783E-2</v>
      </c>
      <c r="T68" s="49">
        <f>'AS1'!N31</f>
        <v>1.2086113863429783E-2</v>
      </c>
      <c r="U68" s="50">
        <f>'AS1'!O31</f>
        <v>1.2086113863429783E-2</v>
      </c>
    </row>
    <row r="69" spans="2:21">
      <c r="B69" s="41" t="s">
        <v>191</v>
      </c>
      <c r="C69" s="42"/>
      <c r="D69" s="42"/>
      <c r="E69" s="42"/>
      <c r="F69" s="49">
        <f>IFERROR(F19/F17,0)</f>
        <v>0</v>
      </c>
      <c r="G69" s="49">
        <f t="shared" ref="G69:H69" si="34">IFERROR(G19/G17,0)</f>
        <v>0</v>
      </c>
      <c r="H69" s="49">
        <f t="shared" si="34"/>
        <v>0</v>
      </c>
      <c r="I69" s="99"/>
      <c r="J69" s="49"/>
      <c r="K69" s="49"/>
      <c r="L69" s="49">
        <v>0</v>
      </c>
      <c r="M69" s="49">
        <v>0</v>
      </c>
      <c r="N69" s="155">
        <v>0.21</v>
      </c>
      <c r="O69" s="155">
        <v>0.21</v>
      </c>
      <c r="P69" s="155">
        <v>0.21</v>
      </c>
      <c r="Q69" s="155">
        <v>0.21</v>
      </c>
      <c r="R69" s="155">
        <v>0.28000000000000003</v>
      </c>
      <c r="S69" s="155">
        <v>0.28000000000000003</v>
      </c>
      <c r="T69" s="155">
        <v>0.28000000000000003</v>
      </c>
      <c r="U69" s="156">
        <v>0.28000000000000003</v>
      </c>
    </row>
    <row r="70" spans="2:21">
      <c r="B70" s="44" t="s">
        <v>192</v>
      </c>
      <c r="C70" s="45"/>
      <c r="D70" s="45"/>
      <c r="E70" s="45"/>
      <c r="F70" s="51">
        <f>IFERROR(F24/F8,0)</f>
        <v>0</v>
      </c>
      <c r="G70" s="51">
        <f t="shared" ref="G70:H70" si="35">IFERROR(G24/G8,0)</f>
        <v>9.6231094344894873E-3</v>
      </c>
      <c r="H70" s="51">
        <f t="shared" si="35"/>
        <v>-0.12992906553779737</v>
      </c>
      <c r="I70" s="100"/>
      <c r="J70" s="51"/>
      <c r="K70" s="51"/>
      <c r="L70" s="51">
        <f>NWC!H23</f>
        <v>0.15099817876712329</v>
      </c>
      <c r="M70" s="51">
        <f>NWC!I23</f>
        <v>0.14732320986301364</v>
      </c>
      <c r="N70" s="51">
        <f>NWC!J23</f>
        <v>0.14457645484018261</v>
      </c>
      <c r="O70" s="51">
        <f>NWC!K23</f>
        <v>0.14168429336421851</v>
      </c>
      <c r="P70" s="51">
        <f>NWC!L23</f>
        <v>0.13916586910197867</v>
      </c>
      <c r="Q70" s="51">
        <f>NWC!M23</f>
        <v>0.13677634703196345</v>
      </c>
      <c r="R70" s="51">
        <f>NWC!N23</f>
        <v>0.13544533561643826</v>
      </c>
      <c r="S70" s="51">
        <f>NWC!O23</f>
        <v>0.13411432420091313</v>
      </c>
      <c r="T70" s="51">
        <f>NWC!P23</f>
        <v>0.13278331278538802</v>
      </c>
      <c r="U70" s="52">
        <f>NWC!Q23</f>
        <v>0.13140684931506852</v>
      </c>
    </row>
  </sheetData>
  <mergeCells count="10">
    <mergeCell ref="C53:C57"/>
    <mergeCell ref="O53:O57"/>
    <mergeCell ref="G35:L35"/>
    <mergeCell ref="B35:E35"/>
    <mergeCell ref="N35:Q35"/>
    <mergeCell ref="P50:U50"/>
    <mergeCell ref="Q51:U51"/>
    <mergeCell ref="D50:I50"/>
    <mergeCell ref="E51:I51"/>
    <mergeCell ref="S35:V35"/>
  </mergeCells>
  <pageMargins left="0.7" right="0.7" top="0.75" bottom="0.75" header="0.3" footer="0.3"/>
  <pageSetup orientation="portrait" r:id="rId1"/>
  <ignoredErrors>
    <ignoredError sqref="I11 E42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61E1-FE4A-4AA0-B2EB-F79B923389E3}">
  <dimension ref="B1:R35"/>
  <sheetViews>
    <sheetView showGridLines="0" workbookViewId="0">
      <selection activeCell="J39" sqref="J39"/>
    </sheetView>
  </sheetViews>
  <sheetFormatPr baseColWidth="10" defaultColWidth="12.6640625" defaultRowHeight="15"/>
  <cols>
    <col min="1" max="1" width="1.6640625" customWidth="1"/>
    <col min="2" max="3" width="14.6640625" customWidth="1"/>
    <col min="4" max="17" width="12.6640625" customWidth="1"/>
  </cols>
  <sheetData>
    <row r="1" spans="2:17" ht="26">
      <c r="B1" s="2" t="s">
        <v>86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7" ht="21">
      <c r="B2" s="3" t="s">
        <v>194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>
      <c r="B3" s="4" t="s">
        <v>158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1"/>
      <c r="Q3" s="22"/>
    </row>
    <row r="5" spans="2:17">
      <c r="E5" s="13"/>
      <c r="F5" s="14" t="s">
        <v>153</v>
      </c>
      <c r="G5" s="13"/>
      <c r="H5" s="54"/>
      <c r="I5" s="24"/>
      <c r="J5" s="14"/>
      <c r="K5" s="15"/>
      <c r="L5" s="15"/>
      <c r="M5" s="14" t="s">
        <v>156</v>
      </c>
      <c r="N5" s="15"/>
      <c r="O5" s="15"/>
      <c r="P5" s="15"/>
      <c r="Q5" s="15"/>
    </row>
    <row r="6" spans="2:17">
      <c r="E6" s="12">
        <f>F6-1</f>
        <v>2016</v>
      </c>
      <c r="F6" s="12">
        <f>G6-1</f>
        <v>2017</v>
      </c>
      <c r="G6" s="26">
        <f>H6-1</f>
        <v>2018</v>
      </c>
      <c r="H6" s="55">
        <v>2019</v>
      </c>
      <c r="I6" s="12">
        <f>H6+1</f>
        <v>2020</v>
      </c>
      <c r="J6" s="12">
        <f t="shared" ref="J6:Q6" si="0">I6+1</f>
        <v>2021</v>
      </c>
      <c r="K6" s="12">
        <f t="shared" si="0"/>
        <v>2022</v>
      </c>
      <c r="L6" s="12">
        <f t="shared" si="0"/>
        <v>2023</v>
      </c>
      <c r="M6" s="12">
        <f t="shared" si="0"/>
        <v>2024</v>
      </c>
      <c r="N6" s="12">
        <f t="shared" si="0"/>
        <v>2025</v>
      </c>
      <c r="O6" s="12">
        <f t="shared" si="0"/>
        <v>2026</v>
      </c>
      <c r="P6" s="12">
        <f t="shared" si="0"/>
        <v>2027</v>
      </c>
      <c r="Q6" s="12">
        <f t="shared" si="0"/>
        <v>2028</v>
      </c>
    </row>
    <row r="7" spans="2:17" ht="5" customHeight="1">
      <c r="H7" s="62"/>
    </row>
    <row r="8" spans="2:17">
      <c r="B8" t="s">
        <v>137</v>
      </c>
      <c r="E8" s="101">
        <f>DCF!F8</f>
        <v>365.14800000000002</v>
      </c>
      <c r="F8" s="101">
        <f>DCF!G8</f>
        <v>858.87</v>
      </c>
      <c r="G8" s="101">
        <f>DCF!H8</f>
        <v>1955.4670000000001</v>
      </c>
      <c r="H8" s="102">
        <f>DCF!L8</f>
        <v>3940.2660049999995</v>
      </c>
      <c r="I8" s="101">
        <f>DCF!M8</f>
        <v>6048.3083176749997</v>
      </c>
      <c r="J8" s="101">
        <f>DCF!N8</f>
        <v>8286.1823952147497</v>
      </c>
      <c r="K8" s="101">
        <f>DCF!O8</f>
        <v>10788.609478569604</v>
      </c>
      <c r="L8" s="101">
        <f>DCF!P8</f>
        <v>13723.111256740536</v>
      </c>
      <c r="M8" s="101">
        <f>DCF!Q8</f>
        <v>16961.765513331302</v>
      </c>
      <c r="N8" s="101">
        <f>DCF!R8</f>
        <v>20164.146842248254</v>
      </c>
      <c r="O8" s="101">
        <f>DCF!S8</f>
        <v>23229.097162269987</v>
      </c>
      <c r="P8" s="101">
        <f>DCF!T8</f>
        <v>25647.246176862296</v>
      </c>
      <c r="Q8" s="101">
        <f>DCF!U8</f>
        <v>26929.608485705412</v>
      </c>
    </row>
    <row r="9" spans="2:17">
      <c r="B9" t="s">
        <v>19</v>
      </c>
      <c r="E9" s="101">
        <f>DCF!F10</f>
        <v>345.95100000000002</v>
      </c>
      <c r="F9" s="101">
        <f>DCF!G10</f>
        <v>790.779</v>
      </c>
      <c r="G9" s="101">
        <f>DCF!H10</f>
        <v>1758.758</v>
      </c>
      <c r="H9" s="102">
        <f>DCF!L10</f>
        <v>3436.9758281813497</v>
      </c>
      <c r="I9" s="101">
        <f>DCF!M10</f>
        <v>5199.2467960397835</v>
      </c>
      <c r="J9" s="101">
        <f>DCF!N10</f>
        <v>7059.0816443073973</v>
      </c>
      <c r="K9" s="101">
        <f>DCF!O10</f>
        <v>9094.7972712767969</v>
      </c>
      <c r="L9" s="101">
        <f>DCF!P10</f>
        <v>11472.521010635088</v>
      </c>
      <c r="M9" s="101">
        <f>DCF!Q10</f>
        <v>14069.784493308316</v>
      </c>
      <c r="N9" s="101">
        <f>DCF!R10</f>
        <v>16726.159805644926</v>
      </c>
      <c r="O9" s="101">
        <f>DCF!S10</f>
        <v>19268.536096102955</v>
      </c>
      <c r="P9" s="101">
        <f>DCF!T10</f>
        <v>21274.390703707275</v>
      </c>
      <c r="Q9" s="101">
        <f>DCF!U10</f>
        <v>22338.110238892641</v>
      </c>
    </row>
    <row r="10" spans="2:17">
      <c r="H10" s="62"/>
    </row>
    <row r="11" spans="2:17">
      <c r="B11" s="56" t="s">
        <v>198</v>
      </c>
      <c r="C11" s="25"/>
      <c r="D11" s="25"/>
      <c r="E11" s="25"/>
      <c r="F11" s="25"/>
      <c r="G11" s="25"/>
      <c r="H11" s="63"/>
      <c r="I11" s="25"/>
      <c r="J11" s="25"/>
      <c r="K11" s="25"/>
      <c r="L11" s="25"/>
      <c r="M11" s="25"/>
      <c r="N11" s="25"/>
      <c r="O11" s="25"/>
      <c r="P11" s="25"/>
      <c r="Q11" s="25"/>
    </row>
    <row r="12" spans="2:17">
      <c r="B12" t="s">
        <v>199</v>
      </c>
      <c r="E12" s="106">
        <f>'Balance Sheet'!S10/1000</f>
        <v>11.638999999999999</v>
      </c>
      <c r="F12" s="106">
        <f>'Balance Sheet'!T10/1000</f>
        <v>14.105</v>
      </c>
      <c r="G12" s="106">
        <f>'Balance Sheet'!U10/1000</f>
        <v>33.119999999999997</v>
      </c>
      <c r="H12" s="102">
        <f t="shared" ref="H12:Q12" si="1">H8/365*H29</f>
        <v>75.566745301369849</v>
      </c>
      <c r="I12" s="107">
        <f t="shared" si="1"/>
        <v>110.47138479771689</v>
      </c>
      <c r="J12" s="107">
        <f t="shared" si="1"/>
        <v>143.77850731422856</v>
      </c>
      <c r="K12" s="107">
        <f t="shared" si="1"/>
        <v>177.3470051271716</v>
      </c>
      <c r="L12" s="107">
        <f t="shared" si="1"/>
        <v>213.05286882610883</v>
      </c>
      <c r="M12" s="107">
        <f t="shared" si="1"/>
        <v>247.84314905324283</v>
      </c>
      <c r="N12" s="107">
        <f t="shared" si="1"/>
        <v>276.22118961983915</v>
      </c>
      <c r="O12" s="107">
        <f t="shared" si="1"/>
        <v>296.99302307925109</v>
      </c>
      <c r="P12" s="107">
        <f t="shared" si="1"/>
        <v>304.48785415452971</v>
      </c>
      <c r="Q12" s="107">
        <f t="shared" si="1"/>
        <v>295.11899710362093</v>
      </c>
    </row>
    <row r="13" spans="2:17">
      <c r="B13" t="s">
        <v>52</v>
      </c>
      <c r="E13" s="106">
        <f>'Balance Sheet'!S12/1000</f>
        <v>192.24199999999999</v>
      </c>
      <c r="F13" s="106">
        <f>'Balance Sheet'!T12/1000</f>
        <v>227.446</v>
      </c>
      <c r="G13" s="106">
        <f>'Balance Sheet'!U12/1000</f>
        <v>412.24299999999999</v>
      </c>
      <c r="H13" s="102">
        <f t="shared" ref="H13:Q13" si="2">H9/365*H30</f>
        <v>847.47349188033274</v>
      </c>
      <c r="I13" s="107">
        <f t="shared" si="2"/>
        <v>1250.3515886975429</v>
      </c>
      <c r="J13" s="107">
        <f t="shared" si="2"/>
        <v>1654.6401418924488</v>
      </c>
      <c r="K13" s="107">
        <f t="shared" si="2"/>
        <v>2076.4377331682181</v>
      </c>
      <c r="L13" s="107">
        <f t="shared" si="2"/>
        <v>2549.4491134744635</v>
      </c>
      <c r="M13" s="107">
        <f t="shared" si="2"/>
        <v>3040.957987899209</v>
      </c>
      <c r="N13" s="107">
        <f t="shared" si="2"/>
        <v>3513.2573107747316</v>
      </c>
      <c r="O13" s="107">
        <f t="shared" si="2"/>
        <v>3929.960177896186</v>
      </c>
      <c r="P13" s="107">
        <f t="shared" si="2"/>
        <v>4209.5445836863682</v>
      </c>
      <c r="Q13" s="107">
        <f t="shared" si="2"/>
        <v>4284.0211417054379</v>
      </c>
    </row>
    <row r="14" spans="2:17">
      <c r="B14" t="s">
        <v>200</v>
      </c>
      <c r="E14" s="110">
        <f>('Balance Sheet'!S14+'Balance Sheet'!S11+'Balance Sheet'!S13)/1000</f>
        <v>47.116999999999997</v>
      </c>
      <c r="F14" s="110">
        <f>('Balance Sheet'!T14+'Balance Sheet'!T11+'Balance Sheet'!T13)/1000</f>
        <v>61.043999999999997</v>
      </c>
      <c r="G14" s="110">
        <f>('Balance Sheet'!U14+'Balance Sheet'!U11+'Balance Sheet'!U13)/1000</f>
        <v>128.78200000000001</v>
      </c>
      <c r="H14" s="113">
        <f t="shared" ref="H14:Q14" si="3">H8*H31</f>
        <v>354.62394044999996</v>
      </c>
      <c r="I14" s="111">
        <f t="shared" si="3"/>
        <v>544.34774859074992</v>
      </c>
      <c r="J14" s="111">
        <f t="shared" si="3"/>
        <v>745.75641556932749</v>
      </c>
      <c r="K14" s="111">
        <f t="shared" si="3"/>
        <v>970.97485307126431</v>
      </c>
      <c r="L14" s="111">
        <f t="shared" si="3"/>
        <v>1235.0800131066483</v>
      </c>
      <c r="M14" s="111">
        <f t="shared" si="3"/>
        <v>1526.5588961998171</v>
      </c>
      <c r="N14" s="111">
        <f t="shared" si="3"/>
        <v>1814.7732158023427</v>
      </c>
      <c r="O14" s="111">
        <f t="shared" si="3"/>
        <v>2090.6187446042986</v>
      </c>
      <c r="P14" s="111">
        <f t="shared" si="3"/>
        <v>2308.2521559176066</v>
      </c>
      <c r="Q14" s="111">
        <f t="shared" si="3"/>
        <v>2423.664763713487</v>
      </c>
    </row>
    <row r="15" spans="2:17">
      <c r="B15" s="11" t="s">
        <v>201</v>
      </c>
      <c r="E15" s="108">
        <f>SUM(E12:E14)</f>
        <v>250.99799999999999</v>
      </c>
      <c r="F15" s="108">
        <f t="shared" ref="F15:Q15" si="4">SUM(F12:F14)</f>
        <v>302.59499999999997</v>
      </c>
      <c r="G15" s="108">
        <f t="shared" si="4"/>
        <v>574.14499999999998</v>
      </c>
      <c r="H15" s="104">
        <f t="shared" si="4"/>
        <v>1277.6641776317026</v>
      </c>
      <c r="I15" s="108">
        <f t="shared" si="4"/>
        <v>1905.1707220860096</v>
      </c>
      <c r="J15" s="108">
        <f t="shared" si="4"/>
        <v>2544.175064776005</v>
      </c>
      <c r="K15" s="108">
        <f t="shared" si="4"/>
        <v>3224.7595913666537</v>
      </c>
      <c r="L15" s="108">
        <f t="shared" si="4"/>
        <v>3997.5819954072203</v>
      </c>
      <c r="M15" s="108">
        <f t="shared" si="4"/>
        <v>4815.3600331522694</v>
      </c>
      <c r="N15" s="108">
        <f t="shared" si="4"/>
        <v>5604.2517161969135</v>
      </c>
      <c r="O15" s="108">
        <f t="shared" si="4"/>
        <v>6317.5719455797353</v>
      </c>
      <c r="P15" s="108">
        <f t="shared" si="4"/>
        <v>6822.2845937585043</v>
      </c>
      <c r="Q15" s="108">
        <f t="shared" si="4"/>
        <v>7002.8049025225464</v>
      </c>
    </row>
    <row r="16" spans="2:17">
      <c r="H16" s="62"/>
    </row>
    <row r="17" spans="2:18">
      <c r="B17" s="56" t="s">
        <v>202</v>
      </c>
      <c r="C17" s="25"/>
      <c r="D17" s="25"/>
      <c r="E17" s="25"/>
      <c r="F17" s="25"/>
      <c r="G17" s="25"/>
      <c r="H17" s="63"/>
      <c r="I17" s="25"/>
      <c r="J17" s="25"/>
      <c r="K17" s="25"/>
      <c r="L17" s="25"/>
      <c r="M17" s="25"/>
      <c r="N17" s="25"/>
      <c r="O17" s="25"/>
      <c r="P17" s="25"/>
      <c r="Q17" s="25"/>
    </row>
    <row r="18" spans="2:18">
      <c r="B18" t="s">
        <v>203</v>
      </c>
      <c r="E18" s="106">
        <f>'Balance Sheet'!S24/1000</f>
        <v>43.813000000000002</v>
      </c>
      <c r="F18" s="106">
        <f>'Balance Sheet'!T24/1000</f>
        <v>50.305999999999997</v>
      </c>
      <c r="G18" s="106">
        <f>'Balance Sheet'!U24/1000</f>
        <v>121.41500000000001</v>
      </c>
      <c r="H18" s="102">
        <f t="shared" ref="H18:Q18" si="5">H9/365*H34</f>
        <v>239.41126145619401</v>
      </c>
      <c r="I18" s="107">
        <f t="shared" si="5"/>
        <v>348.80061154071461</v>
      </c>
      <c r="J18" s="107">
        <f t="shared" si="5"/>
        <v>455.42358243113796</v>
      </c>
      <c r="K18" s="107">
        <f t="shared" si="5"/>
        <v>563.37908576320115</v>
      </c>
      <c r="L18" s="107">
        <f t="shared" si="5"/>
        <v>681.17438676387246</v>
      </c>
      <c r="M18" s="107">
        <f t="shared" si="5"/>
        <v>799.21515569294752</v>
      </c>
      <c r="N18" s="107">
        <f t="shared" si="5"/>
        <v>907.10776261025035</v>
      </c>
      <c r="O18" s="107">
        <f t="shared" si="5"/>
        <v>995.45304744889904</v>
      </c>
      <c r="P18" s="107">
        <f t="shared" si="5"/>
        <v>1044.3880112125892</v>
      </c>
      <c r="Q18" s="107">
        <f t="shared" si="5"/>
        <v>1040.4051344141778</v>
      </c>
    </row>
    <row r="19" spans="2:18">
      <c r="B19" t="s">
        <v>67</v>
      </c>
      <c r="E19" s="110">
        <f>('Balance Sheet'!S27+'Balance Sheet'!S25)/1000</f>
        <v>197.22499999999999</v>
      </c>
      <c r="F19" s="110">
        <f>('Balance Sheet'!T27+'Balance Sheet'!T25)/1000</f>
        <v>250.59399999999999</v>
      </c>
      <c r="G19" s="110">
        <f>('Balance Sheet'!U27+'Balance Sheet'!U25)/1000</f>
        <v>196.96299999999999</v>
      </c>
      <c r="H19" s="113">
        <f t="shared" ref="H19:Q19" si="6">H8*H35</f>
        <v>443.27992556249995</v>
      </c>
      <c r="I19" s="111">
        <f t="shared" si="6"/>
        <v>665.31391494424997</v>
      </c>
      <c r="J19" s="111">
        <f t="shared" si="6"/>
        <v>890.76460748558554</v>
      </c>
      <c r="K19" s="111">
        <f t="shared" si="6"/>
        <v>1132.8039952498084</v>
      </c>
      <c r="L19" s="111">
        <f t="shared" si="6"/>
        <v>1406.6189038159048</v>
      </c>
      <c r="M19" s="111">
        <f t="shared" si="6"/>
        <v>1696.17655133313</v>
      </c>
      <c r="N19" s="111">
        <f t="shared" si="6"/>
        <v>1966.0043171192046</v>
      </c>
      <c r="O19" s="111">
        <f t="shared" si="6"/>
        <v>2206.7642304156484</v>
      </c>
      <c r="P19" s="111">
        <f t="shared" si="6"/>
        <v>2372.3702713597622</v>
      </c>
      <c r="Q19" s="111">
        <f t="shared" si="6"/>
        <v>2423.664763713487</v>
      </c>
    </row>
    <row r="20" spans="2:18">
      <c r="B20" s="11" t="s">
        <v>204</v>
      </c>
      <c r="D20" s="11"/>
      <c r="E20" s="108">
        <f t="shared" ref="E20:Q20" si="7">SUM(E18:E19)</f>
        <v>241.03800000000001</v>
      </c>
      <c r="F20" s="108">
        <f t="shared" si="7"/>
        <v>300.89999999999998</v>
      </c>
      <c r="G20" s="108">
        <f t="shared" si="7"/>
        <v>318.37799999999999</v>
      </c>
      <c r="H20" s="104">
        <f t="shared" si="7"/>
        <v>682.691187018694</v>
      </c>
      <c r="I20" s="108">
        <f t="shared" si="7"/>
        <v>1014.1145264849646</v>
      </c>
      <c r="J20" s="108">
        <f t="shared" si="7"/>
        <v>1346.1881899167236</v>
      </c>
      <c r="K20" s="108">
        <f t="shared" si="7"/>
        <v>1696.1830810130095</v>
      </c>
      <c r="L20" s="108">
        <f t="shared" si="7"/>
        <v>2087.793290579777</v>
      </c>
      <c r="M20" s="108">
        <f t="shared" si="7"/>
        <v>2495.3917070260777</v>
      </c>
      <c r="N20" s="108">
        <f t="shared" si="7"/>
        <v>2873.1120797294552</v>
      </c>
      <c r="O20" s="108">
        <f t="shared" si="7"/>
        <v>3202.2172778645472</v>
      </c>
      <c r="P20" s="108">
        <f t="shared" si="7"/>
        <v>3416.7582825723512</v>
      </c>
      <c r="Q20" s="108">
        <f t="shared" si="7"/>
        <v>3464.0698981276646</v>
      </c>
    </row>
    <row r="21" spans="2:18">
      <c r="E21" s="86"/>
      <c r="F21" s="86"/>
      <c r="G21" s="86"/>
      <c r="H21" s="62"/>
      <c r="I21" s="86"/>
      <c r="J21" s="86"/>
      <c r="K21" s="86"/>
      <c r="L21" s="86"/>
      <c r="M21" s="86"/>
      <c r="N21" s="86"/>
      <c r="O21" s="86"/>
      <c r="P21" s="86"/>
      <c r="Q21" s="86"/>
    </row>
    <row r="22" spans="2:18">
      <c r="B22" s="11" t="s">
        <v>206</v>
      </c>
      <c r="E22" s="103">
        <f t="shared" ref="E22:Q22" si="8">E15-E20</f>
        <v>9.9599999999999795</v>
      </c>
      <c r="F22" s="108">
        <f t="shared" si="8"/>
        <v>1.6949999999999932</v>
      </c>
      <c r="G22" s="103">
        <f t="shared" si="8"/>
        <v>255.767</v>
      </c>
      <c r="H22" s="104">
        <f t="shared" si="8"/>
        <v>594.97299061300862</v>
      </c>
      <c r="I22" s="103">
        <f t="shared" si="8"/>
        <v>891.05619560104503</v>
      </c>
      <c r="J22" s="103">
        <f t="shared" si="8"/>
        <v>1197.9868748592814</v>
      </c>
      <c r="K22" s="103">
        <f t="shared" si="8"/>
        <v>1528.5765103536442</v>
      </c>
      <c r="L22" s="103">
        <f t="shared" si="8"/>
        <v>1909.7887048274433</v>
      </c>
      <c r="M22" s="103">
        <f t="shared" si="8"/>
        <v>2319.9683261261916</v>
      </c>
      <c r="N22" s="103">
        <f t="shared" si="8"/>
        <v>2731.1396364674583</v>
      </c>
      <c r="O22" s="103">
        <f t="shared" si="8"/>
        <v>3115.354667715188</v>
      </c>
      <c r="P22" s="103">
        <f t="shared" si="8"/>
        <v>3405.5263111861532</v>
      </c>
      <c r="Q22" s="103">
        <f t="shared" si="8"/>
        <v>3538.7350043948818</v>
      </c>
    </row>
    <row r="23" spans="2:18">
      <c r="B23" s="17" t="s">
        <v>205</v>
      </c>
      <c r="E23" s="112">
        <f t="shared" ref="E23:Q23" si="9">IFERROR(E22/E8,0)</f>
        <v>2.7276611127542746E-2</v>
      </c>
      <c r="F23" s="112">
        <f t="shared" si="9"/>
        <v>1.9735233504488375E-3</v>
      </c>
      <c r="G23" s="112">
        <f t="shared" si="9"/>
        <v>0.13079586615371161</v>
      </c>
      <c r="H23" s="114">
        <f t="shared" si="9"/>
        <v>0.15099817876712329</v>
      </c>
      <c r="I23" s="112">
        <f t="shared" si="9"/>
        <v>0.14732320986301364</v>
      </c>
      <c r="J23" s="112">
        <f t="shared" si="9"/>
        <v>0.14457645484018261</v>
      </c>
      <c r="K23" s="112">
        <f t="shared" si="9"/>
        <v>0.14168429336421851</v>
      </c>
      <c r="L23" s="112">
        <f t="shared" si="9"/>
        <v>0.13916586910197867</v>
      </c>
      <c r="M23" s="112">
        <f t="shared" si="9"/>
        <v>0.13677634703196345</v>
      </c>
      <c r="N23" s="112">
        <f t="shared" si="9"/>
        <v>0.13544533561643826</v>
      </c>
      <c r="O23" s="112">
        <f t="shared" si="9"/>
        <v>0.13411432420091313</v>
      </c>
      <c r="P23" s="112">
        <f t="shared" si="9"/>
        <v>0.13278331278538802</v>
      </c>
      <c r="Q23" s="112">
        <f t="shared" si="9"/>
        <v>0.13140684931506852</v>
      </c>
      <c r="R23" s="86"/>
    </row>
    <row r="24" spans="2:18">
      <c r="B24" s="17"/>
      <c r="F24" s="269"/>
      <c r="G24" s="269"/>
      <c r="H24" s="136"/>
      <c r="I24" s="269"/>
      <c r="J24" s="269"/>
      <c r="K24" s="269"/>
      <c r="L24" s="269"/>
      <c r="M24" s="269"/>
      <c r="N24" s="269"/>
      <c r="O24" s="269"/>
      <c r="P24" s="269"/>
      <c r="Q24" s="269"/>
    </row>
    <row r="25" spans="2:18">
      <c r="B25" s="23" t="s">
        <v>207</v>
      </c>
      <c r="C25" s="23"/>
      <c r="D25" s="23"/>
      <c r="E25" s="109" t="s">
        <v>133</v>
      </c>
      <c r="F25" s="105">
        <f>-(F22-E22)</f>
        <v>8.2649999999999864</v>
      </c>
      <c r="G25" s="105">
        <f t="shared" ref="G25:Q25" si="10">-(G22-F22)</f>
        <v>-254.072</v>
      </c>
      <c r="H25" s="105">
        <f t="shared" si="10"/>
        <v>-339.20599061300862</v>
      </c>
      <c r="I25" s="105">
        <f t="shared" si="10"/>
        <v>-296.08320498803641</v>
      </c>
      <c r="J25" s="105">
        <f t="shared" si="10"/>
        <v>-306.93067925823641</v>
      </c>
      <c r="K25" s="105">
        <f t="shared" si="10"/>
        <v>-330.58963549436271</v>
      </c>
      <c r="L25" s="105">
        <f t="shared" si="10"/>
        <v>-381.21219447379917</v>
      </c>
      <c r="M25" s="105">
        <f t="shared" si="10"/>
        <v>-410.17962129874832</v>
      </c>
      <c r="N25" s="105">
        <f t="shared" si="10"/>
        <v>-411.17131034126669</v>
      </c>
      <c r="O25" s="105">
        <f t="shared" si="10"/>
        <v>-384.21503124772971</v>
      </c>
      <c r="P25" s="105">
        <f t="shared" si="10"/>
        <v>-290.17164347096514</v>
      </c>
      <c r="Q25" s="105">
        <f t="shared" si="10"/>
        <v>-133.20869320872862</v>
      </c>
    </row>
    <row r="26" spans="2:18">
      <c r="F26" t="s">
        <v>243</v>
      </c>
    </row>
    <row r="27" spans="2:18">
      <c r="B27" s="37" t="s">
        <v>185</v>
      </c>
    </row>
    <row r="28" spans="2:18">
      <c r="B28" s="57" t="s">
        <v>198</v>
      </c>
      <c r="C28" s="58"/>
      <c r="D28" s="58"/>
      <c r="E28" s="39"/>
      <c r="F28" s="39"/>
      <c r="G28" s="39"/>
      <c r="H28" s="60"/>
      <c r="I28" s="39"/>
      <c r="J28" s="39"/>
      <c r="K28" s="39"/>
      <c r="L28" s="39"/>
      <c r="M28" s="39"/>
      <c r="N28" s="39"/>
      <c r="O28" s="39"/>
      <c r="P28" s="39"/>
      <c r="Q28" s="40"/>
    </row>
    <row r="29" spans="2:18">
      <c r="B29" s="41" t="s">
        <v>208</v>
      </c>
      <c r="C29" s="42"/>
      <c r="D29" s="42"/>
      <c r="E29" s="64">
        <f t="shared" ref="E29:G30" si="11">IFERROR(E12/E8*365,0)</f>
        <v>11.634282537491647</v>
      </c>
      <c r="F29" s="64">
        <f t="shared" si="11"/>
        <v>5.9943006508551937</v>
      </c>
      <c r="G29" s="64">
        <f t="shared" si="11"/>
        <v>6.1820526759081069</v>
      </c>
      <c r="H29" s="74">
        <f>'AS2'!F10</f>
        <v>7</v>
      </c>
      <c r="I29" s="64">
        <f>'AS2'!G10</f>
        <v>6.666666666666667</v>
      </c>
      <c r="J29" s="64">
        <f>'AS2'!H10</f>
        <v>6.3333333333333339</v>
      </c>
      <c r="K29" s="64">
        <f>'AS2'!I10</f>
        <v>6.0000000000000009</v>
      </c>
      <c r="L29" s="64">
        <f>'AS2'!J10</f>
        <v>5.6666666666666679</v>
      </c>
      <c r="M29" s="64">
        <f>'AS2'!K10</f>
        <v>5.3333333333333348</v>
      </c>
      <c r="N29" s="64">
        <f>'AS2'!L10</f>
        <v>5.0000000000000018</v>
      </c>
      <c r="O29" s="64">
        <f>'AS2'!M10</f>
        <v>4.6666666666666687</v>
      </c>
      <c r="P29" s="64">
        <f>'AS2'!N10</f>
        <v>4.3333333333333357</v>
      </c>
      <c r="Q29" s="72">
        <f>'AS2'!O10</f>
        <v>4</v>
      </c>
    </row>
    <row r="30" spans="2:18">
      <c r="B30" s="41" t="s">
        <v>209</v>
      </c>
      <c r="C30" s="42"/>
      <c r="D30" s="42"/>
      <c r="E30" s="64">
        <f t="shared" si="11"/>
        <v>202.82736572520383</v>
      </c>
      <c r="F30" s="64">
        <f t="shared" si="11"/>
        <v>104.98228961568277</v>
      </c>
      <c r="G30" s="64">
        <f t="shared" si="11"/>
        <v>85.55395057193769</v>
      </c>
      <c r="H30" s="74">
        <f>'AS2'!F15</f>
        <v>90</v>
      </c>
      <c r="I30" s="64">
        <f>'AS2'!G15</f>
        <v>87.777777777777771</v>
      </c>
      <c r="J30" s="64">
        <f>'AS2'!H15</f>
        <v>85.555555555555543</v>
      </c>
      <c r="K30" s="64">
        <f>'AS2'!I15</f>
        <v>83.333333333333314</v>
      </c>
      <c r="L30" s="64">
        <f>'AS2'!J15</f>
        <v>81.111111111111086</v>
      </c>
      <c r="M30" s="64">
        <f>'AS2'!K15</f>
        <v>78.888888888888857</v>
      </c>
      <c r="N30" s="64">
        <f>'AS2'!L15</f>
        <v>76.666666666666629</v>
      </c>
      <c r="O30" s="64">
        <f>'AS2'!M15</f>
        <v>74.4444444444444</v>
      </c>
      <c r="P30" s="64">
        <f>'AS2'!N15</f>
        <v>72.222222222222172</v>
      </c>
      <c r="Q30" s="72">
        <f>'AS2'!O15</f>
        <v>70</v>
      </c>
    </row>
    <row r="31" spans="2:18">
      <c r="B31" s="41" t="s">
        <v>210</v>
      </c>
      <c r="C31" s="42"/>
      <c r="D31" s="42"/>
      <c r="E31" s="65">
        <f>IFERROR(E14/E8,0)</f>
        <v>0.12903535004984279</v>
      </c>
      <c r="F31" s="65">
        <f>IFERROR(F14/F8,0)</f>
        <v>7.1074784309616126E-2</v>
      </c>
      <c r="G31" s="65">
        <f>IFERROR(G14/G8,0)</f>
        <v>6.5857414111309479E-2</v>
      </c>
      <c r="H31" s="66">
        <f>'AS2'!F20</f>
        <v>0.09</v>
      </c>
      <c r="I31" s="67">
        <f>'AS2'!G20</f>
        <v>0.09</v>
      </c>
      <c r="J31" s="67">
        <f>'AS2'!H20</f>
        <v>0.09</v>
      </c>
      <c r="K31" s="67">
        <f>'AS2'!I20</f>
        <v>0.09</v>
      </c>
      <c r="L31" s="67">
        <f>'AS2'!J20</f>
        <v>0.09</v>
      </c>
      <c r="M31" s="67">
        <f>'AS2'!K20</f>
        <v>0.09</v>
      </c>
      <c r="N31" s="67">
        <f>'AS2'!L20</f>
        <v>0.09</v>
      </c>
      <c r="O31" s="67">
        <f>'AS2'!M20</f>
        <v>0.09</v>
      </c>
      <c r="P31" s="67">
        <f>'AS2'!N20</f>
        <v>0.09</v>
      </c>
      <c r="Q31" s="68">
        <f>'AS2'!O20</f>
        <v>0.09</v>
      </c>
    </row>
    <row r="32" spans="2:18">
      <c r="B32" s="41"/>
      <c r="C32" s="42"/>
      <c r="D32" s="42"/>
      <c r="E32" s="42"/>
      <c r="F32" s="42"/>
      <c r="G32" s="42"/>
      <c r="H32" s="61"/>
      <c r="I32" s="42"/>
      <c r="J32" s="42"/>
      <c r="K32" s="42"/>
      <c r="L32" s="42"/>
      <c r="M32" s="42"/>
      <c r="N32" s="42"/>
      <c r="O32" s="42"/>
      <c r="P32" s="42"/>
      <c r="Q32" s="43"/>
    </row>
    <row r="33" spans="2:17">
      <c r="B33" s="59" t="s">
        <v>202</v>
      </c>
      <c r="C33" s="45"/>
      <c r="D33" s="45"/>
      <c r="E33" s="42"/>
      <c r="F33" s="42"/>
      <c r="G33" s="42"/>
      <c r="H33" s="61"/>
      <c r="I33" s="42"/>
      <c r="J33" s="42"/>
      <c r="K33" s="42"/>
      <c r="L33" s="42"/>
      <c r="M33" s="42"/>
      <c r="N33" s="42"/>
      <c r="O33" s="42"/>
      <c r="P33" s="42"/>
      <c r="Q33" s="43"/>
    </row>
    <row r="34" spans="2:17">
      <c r="B34" s="41" t="s">
        <v>211</v>
      </c>
      <c r="C34" s="42"/>
      <c r="D34" s="42"/>
      <c r="E34" s="64">
        <f>IFERROR(E18/E9*365,0)</f>
        <v>46.225462565507826</v>
      </c>
      <c r="F34" s="64">
        <f>IFERROR(F18/F9*365,0)</f>
        <v>23.219749133449419</v>
      </c>
      <c r="G34" s="64">
        <f>IFERROR(G18/G9*365,0)</f>
        <v>25.197596826851676</v>
      </c>
      <c r="H34" s="74">
        <f>'AS2'!F26</f>
        <v>25.425000000000001</v>
      </c>
      <c r="I34" s="64">
        <f>'AS2'!G26</f>
        <v>24.486666666666668</v>
      </c>
      <c r="J34" s="64">
        <f>'AS2'!H26</f>
        <v>23.548333333333336</v>
      </c>
      <c r="K34" s="64">
        <f>'AS2'!I26</f>
        <v>22.610000000000003</v>
      </c>
      <c r="L34" s="64">
        <f>'AS2'!J26</f>
        <v>21.67166666666667</v>
      </c>
      <c r="M34" s="64">
        <f>'AS2'!K26</f>
        <v>20.733333333333338</v>
      </c>
      <c r="N34" s="64">
        <f>'AS2'!L26</f>
        <v>19.795000000000005</v>
      </c>
      <c r="O34" s="64">
        <f>'AS2'!M26</f>
        <v>18.856666666666673</v>
      </c>
      <c r="P34" s="64">
        <f>'AS2'!N26</f>
        <v>17.91833333333334</v>
      </c>
      <c r="Q34" s="72">
        <f>'AS2'!O26</f>
        <v>17</v>
      </c>
    </row>
    <row r="35" spans="2:17">
      <c r="B35" s="44" t="s">
        <v>212</v>
      </c>
      <c r="C35" s="45"/>
      <c r="D35" s="45"/>
      <c r="E35" s="73">
        <f>IFERROR(E19/E8,0)</f>
        <v>0.54012345679012341</v>
      </c>
      <c r="F35" s="73">
        <f>IFERROR(F19/F8,0)</f>
        <v>0.29177174659727317</v>
      </c>
      <c r="G35" s="73">
        <f>IFERROR(G19/G8,0)</f>
        <v>0.10072427711641259</v>
      </c>
      <c r="H35" s="69">
        <f>'AS2'!F31</f>
        <v>0.1125</v>
      </c>
      <c r="I35" s="70">
        <f>'AS2'!G31</f>
        <v>0.11</v>
      </c>
      <c r="J35" s="70">
        <f>'AS2'!H31</f>
        <v>0.1075</v>
      </c>
      <c r="K35" s="70">
        <f>'AS2'!I31</f>
        <v>0.105</v>
      </c>
      <c r="L35" s="70">
        <f>'AS2'!J31</f>
        <v>0.10249999999999999</v>
      </c>
      <c r="M35" s="70">
        <f>'AS2'!K31</f>
        <v>9.9999999999999992E-2</v>
      </c>
      <c r="N35" s="70">
        <f>'AS2'!L31</f>
        <v>9.7499999999999989E-2</v>
      </c>
      <c r="O35" s="70">
        <f>'AS2'!M31</f>
        <v>9.4999999999999987E-2</v>
      </c>
      <c r="P35" s="70">
        <f>'AS2'!N31</f>
        <v>9.2499999999999985E-2</v>
      </c>
      <c r="Q35" s="71">
        <f>'AS2'!O31</f>
        <v>0.09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38F9-D26F-44FE-9D51-73F899FDE333}">
  <dimension ref="B1:T32"/>
  <sheetViews>
    <sheetView showGridLines="0" zoomScaleNormal="100" workbookViewId="0">
      <selection activeCell="C26" sqref="C26"/>
    </sheetView>
  </sheetViews>
  <sheetFormatPr baseColWidth="10" defaultColWidth="12.6640625" defaultRowHeight="15"/>
  <cols>
    <col min="1" max="1" width="1.6640625" customWidth="1"/>
    <col min="5" max="5" width="12.5" customWidth="1"/>
    <col min="6" max="6" width="0.1640625" customWidth="1"/>
    <col min="8" max="9" width="5.6640625" customWidth="1"/>
    <col min="10" max="10" width="12.6640625" customWidth="1"/>
  </cols>
  <sheetData>
    <row r="1" spans="2:20" ht="26">
      <c r="B1" s="2" t="s">
        <v>86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2:20" ht="21">
      <c r="B2" s="3" t="s">
        <v>195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>
      <c r="B3" s="4" t="s">
        <v>158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1"/>
      <c r="T3" s="22"/>
    </row>
    <row r="6" spans="2:20">
      <c r="C6" s="474" t="s">
        <v>214</v>
      </c>
      <c r="D6" s="474"/>
      <c r="E6" s="474"/>
      <c r="F6" s="474"/>
      <c r="G6" s="474"/>
      <c r="K6" s="474" t="s">
        <v>193</v>
      </c>
      <c r="L6" s="474"/>
      <c r="M6" s="474"/>
      <c r="N6" s="474"/>
      <c r="O6" s="474"/>
      <c r="P6" s="474"/>
    </row>
    <row r="7" spans="2:20">
      <c r="C7" s="37" t="s">
        <v>215</v>
      </c>
      <c r="L7" s="477" t="s">
        <v>218</v>
      </c>
      <c r="M7" s="477"/>
      <c r="N7" s="477"/>
      <c r="O7" s="477"/>
      <c r="P7" s="477"/>
    </row>
    <row r="8" spans="2:20" ht="15" customHeight="1">
      <c r="C8" t="s">
        <v>216</v>
      </c>
      <c r="G8" s="76">
        <v>0.108</v>
      </c>
      <c r="K8" s="82">
        <f>G25</f>
        <v>0.12270926400000001</v>
      </c>
      <c r="L8" s="83">
        <f>M8-0.005</f>
        <v>2.1999999999999999E-2</v>
      </c>
      <c r="M8" s="83">
        <f>N8-0.005</f>
        <v>2.7E-2</v>
      </c>
      <c r="N8" s="84">
        <v>3.2000000000000001E-2</v>
      </c>
      <c r="O8" s="83">
        <f>N8+0.005</f>
        <v>3.6999999999999998E-2</v>
      </c>
      <c r="P8" s="83">
        <f>O8+0.005</f>
        <v>4.1999999999999996E-2</v>
      </c>
    </row>
    <row r="9" spans="2:20" ht="15" customHeight="1">
      <c r="C9" t="s">
        <v>217</v>
      </c>
      <c r="G9" s="77">
        <f>1-G8</f>
        <v>0.89200000000000002</v>
      </c>
      <c r="J9" s="476" t="s">
        <v>222</v>
      </c>
      <c r="K9" s="80">
        <f>K10-0.01</f>
        <v>0.11369200000000002</v>
      </c>
      <c r="L9" s="129">
        <f t="dataTable" ref="L9:P13" dt2D="1" dtr="1" r1="G13" r2="G22"/>
        <v>0.10378926400000002</v>
      </c>
      <c r="M9" s="129">
        <v>0.10432926400000002</v>
      </c>
      <c r="N9" s="129">
        <v>0.10486926400000002</v>
      </c>
      <c r="O9" s="129">
        <v>0.10540926400000002</v>
      </c>
      <c r="P9" s="129">
        <v>0.10594926400000002</v>
      </c>
    </row>
    <row r="10" spans="2:20">
      <c r="J10" s="476"/>
      <c r="K10" s="80">
        <f>K11-0.01</f>
        <v>0.12369200000000001</v>
      </c>
      <c r="L10" s="129">
        <v>0.11270926400000002</v>
      </c>
      <c r="M10" s="130">
        <v>0.11324926400000002</v>
      </c>
      <c r="N10" s="130">
        <v>0.11378926400000001</v>
      </c>
      <c r="O10" s="130">
        <v>0.11432926400000001</v>
      </c>
      <c r="P10" s="129">
        <v>0.11486926400000001</v>
      </c>
    </row>
    <row r="11" spans="2:20">
      <c r="J11" s="476"/>
      <c r="K11" s="81">
        <v>0.13369200000000001</v>
      </c>
      <c r="L11" s="129">
        <v>0.12162926400000001</v>
      </c>
      <c r="M11" s="130">
        <v>0.12216926400000001</v>
      </c>
      <c r="N11" s="131">
        <v>0.12270926400000001</v>
      </c>
      <c r="O11" s="130">
        <v>0.12324926400000001</v>
      </c>
      <c r="P11" s="129">
        <v>0.12378926400000001</v>
      </c>
    </row>
    <row r="12" spans="2:20">
      <c r="C12" s="37" t="s">
        <v>218</v>
      </c>
      <c r="J12" s="476"/>
      <c r="K12" s="80">
        <f>K11+0.01</f>
        <v>0.14369200000000001</v>
      </c>
      <c r="L12" s="129">
        <v>0.130549264</v>
      </c>
      <c r="M12" s="130">
        <v>0.13108926400000001</v>
      </c>
      <c r="N12" s="130">
        <v>0.131629264</v>
      </c>
      <c r="O12" s="130">
        <v>0.13216926400000001</v>
      </c>
      <c r="P12" s="129">
        <v>0.13270926400000002</v>
      </c>
    </row>
    <row r="13" spans="2:20">
      <c r="C13" t="s">
        <v>219</v>
      </c>
      <c r="G13" s="78">
        <v>3.2000000000000001E-2</v>
      </c>
      <c r="J13" s="476"/>
      <c r="K13" s="80">
        <f>K12+0.01</f>
        <v>0.15369200000000002</v>
      </c>
      <c r="L13" s="129">
        <v>0.13946926400000001</v>
      </c>
      <c r="M13" s="129">
        <v>0.14000926400000002</v>
      </c>
      <c r="N13" s="129">
        <v>0.14054926400000001</v>
      </c>
      <c r="O13" s="129">
        <v>0.14108926400000002</v>
      </c>
      <c r="P13" s="129">
        <v>0.14162926400000003</v>
      </c>
    </row>
    <row r="14" spans="2:20">
      <c r="C14" t="s">
        <v>220</v>
      </c>
      <c r="G14" s="78">
        <v>0</v>
      </c>
    </row>
    <row r="15" spans="2:20">
      <c r="C15" s="11" t="s">
        <v>221</v>
      </c>
      <c r="G15" s="79">
        <f>G13*(1-G14)</f>
        <v>3.2000000000000001E-2</v>
      </c>
    </row>
    <row r="18" spans="3:18">
      <c r="C18" s="37" t="s">
        <v>222</v>
      </c>
    </row>
    <row r="19" spans="3:18">
      <c r="C19" t="s">
        <v>223</v>
      </c>
      <c r="G19" s="78">
        <v>1.5100000000000001E-2</v>
      </c>
    </row>
    <row r="20" spans="3:18">
      <c r="C20" t="s">
        <v>224</v>
      </c>
      <c r="G20" s="78">
        <v>7.4120000000000005E-2</v>
      </c>
    </row>
    <row r="21" spans="3:18">
      <c r="C21" t="s">
        <v>256</v>
      </c>
      <c r="G21" s="128">
        <v>1.6</v>
      </c>
    </row>
    <row r="22" spans="3:18">
      <c r="C22" s="11" t="s">
        <v>225</v>
      </c>
      <c r="G22" s="79">
        <f>G19+(G20*G21)</f>
        <v>0.13369200000000001</v>
      </c>
    </row>
    <row r="23" spans="3:18">
      <c r="C23" s="267" t="s">
        <v>323</v>
      </c>
    </row>
    <row r="24" spans="3:18">
      <c r="K24" s="86"/>
      <c r="L24" s="86"/>
      <c r="M24" s="86"/>
      <c r="N24" s="86"/>
      <c r="O24" s="86"/>
      <c r="P24" s="86"/>
      <c r="Q24" s="86"/>
      <c r="R24" s="86"/>
    </row>
    <row r="25" spans="3:18">
      <c r="C25" s="480" t="s">
        <v>149</v>
      </c>
      <c r="G25" s="79">
        <f>(G8*G15)+(G9*G22)</f>
        <v>0.12270926400000001</v>
      </c>
    </row>
    <row r="30" spans="3:18">
      <c r="G30" s="18"/>
      <c r="H30" s="18"/>
      <c r="I30" s="18"/>
      <c r="J30" s="18"/>
    </row>
    <row r="31" spans="3:18">
      <c r="G31" s="18"/>
      <c r="H31" s="18"/>
      <c r="I31" s="18"/>
      <c r="J31" s="18"/>
    </row>
    <row r="32" spans="3:18">
      <c r="G32" s="18"/>
      <c r="H32" s="18"/>
      <c r="I32" s="18"/>
      <c r="J32" s="18"/>
    </row>
  </sheetData>
  <mergeCells count="4">
    <mergeCell ref="J9:J13"/>
    <mergeCell ref="C6:G6"/>
    <mergeCell ref="L7:P7"/>
    <mergeCell ref="K6:P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795C1-931C-43BB-B24B-E53B391B8AE5}">
  <dimension ref="B1:Q35"/>
  <sheetViews>
    <sheetView showGridLines="0" workbookViewId="0">
      <selection activeCell="D14" sqref="D14"/>
    </sheetView>
  </sheetViews>
  <sheetFormatPr baseColWidth="10" defaultColWidth="12.6640625" defaultRowHeight="15"/>
  <cols>
    <col min="1" max="1" width="1.6640625" customWidth="1"/>
    <col min="2" max="15" width="12.6640625" customWidth="1"/>
  </cols>
  <sheetData>
    <row r="1" spans="2:17" ht="26">
      <c r="B1" s="2" t="s">
        <v>86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7" ht="21">
      <c r="B2" s="3" t="s">
        <v>196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7">
      <c r="B3" s="4" t="s">
        <v>158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5" spans="2:17">
      <c r="F5" s="478" t="s">
        <v>156</v>
      </c>
      <c r="G5" s="478"/>
      <c r="H5" s="478"/>
      <c r="I5" s="478"/>
      <c r="J5" s="478"/>
      <c r="K5" s="478"/>
      <c r="L5" s="478"/>
      <c r="M5" s="478"/>
      <c r="N5" s="478"/>
      <c r="O5" s="478"/>
    </row>
    <row r="6" spans="2:17">
      <c r="F6" s="35" t="s">
        <v>226</v>
      </c>
      <c r="G6" s="35" t="s">
        <v>227</v>
      </c>
      <c r="H6" s="35" t="s">
        <v>228</v>
      </c>
      <c r="I6" s="35" t="s">
        <v>229</v>
      </c>
      <c r="J6" s="35" t="s">
        <v>230</v>
      </c>
      <c r="K6" s="35" t="s">
        <v>231</v>
      </c>
      <c r="L6" s="35" t="s">
        <v>232</v>
      </c>
      <c r="M6" s="35" t="s">
        <v>233</v>
      </c>
      <c r="N6" s="35" t="s">
        <v>234</v>
      </c>
      <c r="O6" s="35" t="s">
        <v>235</v>
      </c>
    </row>
    <row r="7" spans="2:17">
      <c r="F7" s="12">
        <v>2019</v>
      </c>
      <c r="G7" s="12">
        <v>2020</v>
      </c>
      <c r="H7" s="12">
        <v>2021</v>
      </c>
      <c r="I7" s="12">
        <v>2022</v>
      </c>
      <c r="J7" s="12">
        <v>2023</v>
      </c>
      <c r="K7" s="12">
        <v>2024</v>
      </c>
      <c r="L7" s="12">
        <v>2025</v>
      </c>
      <c r="M7" s="12">
        <v>2026</v>
      </c>
      <c r="N7" s="12">
        <v>2027</v>
      </c>
      <c r="O7" s="12">
        <v>2028</v>
      </c>
    </row>
    <row r="9" spans="2:17">
      <c r="B9" s="37" t="s">
        <v>236</v>
      </c>
      <c r="F9" s="25"/>
      <c r="G9" s="25"/>
      <c r="H9" s="25"/>
      <c r="I9" s="25"/>
      <c r="J9" s="135"/>
      <c r="K9" s="25"/>
      <c r="L9" s="25"/>
      <c r="M9" s="25"/>
      <c r="N9" s="25"/>
      <c r="O9" s="25"/>
    </row>
    <row r="10" spans="2:17">
      <c r="B10" t="s">
        <v>186</v>
      </c>
      <c r="F10" s="116">
        <f>CHOOSE(DCF!$D$4,F11,F12,F13)</f>
        <v>1.0149999999999999</v>
      </c>
      <c r="G10" s="116">
        <f>CHOOSE(DCF!$D$4,G11,G12,G13)</f>
        <v>0.53500000000000003</v>
      </c>
      <c r="H10" s="116">
        <f>CHOOSE(DCF!$D$4,H11,H12,H13)</f>
        <v>0.37</v>
      </c>
      <c r="I10" s="116">
        <f>CHOOSE(DCF!$D$4,I11,I12,I13)</f>
        <v>0.30199999999999999</v>
      </c>
      <c r="J10" s="116">
        <f>CHOOSE(DCF!$D$4,J11,J12,J13)</f>
        <v>0.27200000000000002</v>
      </c>
      <c r="K10" s="116">
        <f>CHOOSE(DCF!$D$4,K11,K12,K13)</f>
        <v>0.23599999999999999</v>
      </c>
      <c r="L10" s="116">
        <f>CHOOSE(DCF!$D$4,L11,L12,L13)</f>
        <v>0.1888</v>
      </c>
      <c r="M10" s="116">
        <f>CHOOSE(DCF!$D$4,M11,M12,M13)</f>
        <v>0.152</v>
      </c>
      <c r="N10" s="116">
        <f>CHOOSE(DCF!$D$4,N11,N12,N13)</f>
        <v>0.1041</v>
      </c>
      <c r="O10" s="116">
        <f>CHOOSE(DCF!$D$4,O11,O12,O13)</f>
        <v>0.05</v>
      </c>
    </row>
    <row r="11" spans="2:17">
      <c r="B11" s="85" t="s">
        <v>160</v>
      </c>
      <c r="E11" s="75">
        <v>1</v>
      </c>
      <c r="F11" s="90">
        <v>1.0149999999999999</v>
      </c>
      <c r="G11" s="91">
        <v>0.53500000000000003</v>
      </c>
      <c r="H11" s="91">
        <v>0.37</v>
      </c>
      <c r="I11" s="91">
        <v>0.30199999999999999</v>
      </c>
      <c r="J11" s="91">
        <v>0.27200000000000002</v>
      </c>
      <c r="K11" s="91">
        <v>0.23599999999999999</v>
      </c>
      <c r="L11" s="91">
        <v>0.1888</v>
      </c>
      <c r="M11" s="91">
        <v>0.152</v>
      </c>
      <c r="N11" s="91">
        <v>0.1041</v>
      </c>
      <c r="O11" s="92">
        <v>0.05</v>
      </c>
    </row>
    <row r="12" spans="2:17">
      <c r="B12" s="85" t="s">
        <v>258</v>
      </c>
      <c r="E12" s="75">
        <v>2</v>
      </c>
      <c r="F12" s="90">
        <f>F11+0.015</f>
        <v>1.0299999999999998</v>
      </c>
      <c r="G12" s="91">
        <v>0.67400000000000004</v>
      </c>
      <c r="H12" s="91">
        <v>0.42099999999999999</v>
      </c>
      <c r="I12" s="91">
        <v>0.34599999999999997</v>
      </c>
      <c r="J12" s="91">
        <v>0.29399999999999998</v>
      </c>
      <c r="K12" s="91">
        <f t="shared" ref="K12:N12" si="0">K11+0.015</f>
        <v>0.251</v>
      </c>
      <c r="L12" s="91">
        <f t="shared" si="0"/>
        <v>0.20379999999999998</v>
      </c>
      <c r="M12" s="91">
        <f t="shared" si="0"/>
        <v>0.16699999999999998</v>
      </c>
      <c r="N12" s="91">
        <f t="shared" si="0"/>
        <v>0.1191</v>
      </c>
      <c r="O12" s="92">
        <v>0.05</v>
      </c>
    </row>
    <row r="13" spans="2:17">
      <c r="B13" s="85" t="s">
        <v>259</v>
      </c>
      <c r="E13" s="75">
        <v>3</v>
      </c>
      <c r="F13" s="93">
        <f>F11-0.015</f>
        <v>0.99999999999999989</v>
      </c>
      <c r="G13" s="94">
        <f t="shared" ref="G13:N13" si="1">G11-0.015</f>
        <v>0.52</v>
      </c>
      <c r="H13" s="94">
        <f t="shared" si="1"/>
        <v>0.35499999999999998</v>
      </c>
      <c r="I13" s="94">
        <f t="shared" si="1"/>
        <v>0.28699999999999998</v>
      </c>
      <c r="J13" s="94">
        <f t="shared" si="1"/>
        <v>0.25700000000000001</v>
      </c>
      <c r="K13" s="94">
        <f t="shared" si="1"/>
        <v>0.22099999999999997</v>
      </c>
      <c r="L13" s="94">
        <f t="shared" si="1"/>
        <v>0.17380000000000001</v>
      </c>
      <c r="M13" s="94">
        <f t="shared" si="1"/>
        <v>0.13700000000000001</v>
      </c>
      <c r="N13" s="94">
        <f t="shared" si="1"/>
        <v>8.9099999999999999E-2</v>
      </c>
      <c r="O13" s="95">
        <v>0.05</v>
      </c>
    </row>
    <row r="14" spans="2:17">
      <c r="F14" s="25"/>
      <c r="G14" s="25"/>
      <c r="H14" s="25"/>
      <c r="I14" s="25"/>
      <c r="J14" s="25"/>
      <c r="K14" s="25"/>
      <c r="L14" s="25"/>
      <c r="M14" s="25"/>
      <c r="N14" s="25"/>
      <c r="O14" s="25"/>
    </row>
    <row r="15" spans="2:17">
      <c r="B15" t="s">
        <v>237</v>
      </c>
      <c r="F15" s="116">
        <f>CHOOSE(DCF!$D$4,F16,F17,F18)</f>
        <v>0.87226999999999999</v>
      </c>
      <c r="G15" s="116">
        <f>CHOOSE(DCF!$D$4,G16,G17,G18)</f>
        <v>0.85962000000000005</v>
      </c>
      <c r="H15" s="116">
        <f>CHOOSE(DCF!$D$4,H16,H17,H18)</f>
        <v>0.85190999999999995</v>
      </c>
      <c r="I15" s="116">
        <f>CHOOSE(DCF!$D$4,I16,I17,I18)</f>
        <v>0.84299995187912025</v>
      </c>
      <c r="J15" s="116">
        <f>CHOOSE(DCF!$D$4,J16,J17,J18)</f>
        <v>0.83599999999999997</v>
      </c>
      <c r="K15" s="116">
        <f>CHOOSE(DCF!$D$4,K16,K17,K18)</f>
        <v>0.82950000000000002</v>
      </c>
      <c r="L15" s="116">
        <f>CHOOSE(DCF!$D$4,L16,L17,L18)</f>
        <v>0.82950000000000002</v>
      </c>
      <c r="M15" s="116">
        <f>CHOOSE(DCF!$D$4,M16,M17,M18)</f>
        <v>0.82950000000000002</v>
      </c>
      <c r="N15" s="116">
        <f>CHOOSE(DCF!$D$4,N16,N17,N18)</f>
        <v>0.82950000000000002</v>
      </c>
      <c r="O15" s="116">
        <f>CHOOSE(DCF!$D$4,O16,O17,O18)</f>
        <v>0.82950000000000002</v>
      </c>
    </row>
    <row r="16" spans="2:17">
      <c r="B16" s="85" t="s">
        <v>160</v>
      </c>
      <c r="E16" s="75">
        <v>1</v>
      </c>
      <c r="F16" s="87">
        <f>1-0.12773</f>
        <v>0.87226999999999999</v>
      </c>
      <c r="G16" s="88">
        <f>1-0.14038</f>
        <v>0.85962000000000005</v>
      </c>
      <c r="H16" s="88">
        <f>1-0.14809</f>
        <v>0.85190999999999995</v>
      </c>
      <c r="I16" s="88">
        <v>0.84299995187912025</v>
      </c>
      <c r="J16" s="88">
        <f>1-0.164</f>
        <v>0.83599999999999997</v>
      </c>
      <c r="K16" s="88">
        <f>1-0.1705</f>
        <v>0.82950000000000002</v>
      </c>
      <c r="L16" s="88">
        <f>+K16</f>
        <v>0.82950000000000002</v>
      </c>
      <c r="M16" s="88">
        <f t="shared" ref="M16:O16" si="2">+L16</f>
        <v>0.82950000000000002</v>
      </c>
      <c r="N16" s="88">
        <f t="shared" si="2"/>
        <v>0.82950000000000002</v>
      </c>
      <c r="O16" s="89">
        <f t="shared" si="2"/>
        <v>0.82950000000000002</v>
      </c>
      <c r="P16" s="270"/>
      <c r="Q16" s="270"/>
    </row>
    <row r="17" spans="2:17">
      <c r="B17" s="85" t="s">
        <v>258</v>
      </c>
      <c r="E17" s="75">
        <v>2</v>
      </c>
      <c r="F17" s="90">
        <f>F16-0.009</f>
        <v>0.86326999999999998</v>
      </c>
      <c r="G17" s="91">
        <f t="shared" ref="G17:O17" si="3">G16-0.009</f>
        <v>0.85062000000000004</v>
      </c>
      <c r="H17" s="91">
        <f t="shared" si="3"/>
        <v>0.84290999999999994</v>
      </c>
      <c r="I17" s="91">
        <f t="shared" si="3"/>
        <v>0.83399995187912024</v>
      </c>
      <c r="J17" s="91">
        <f t="shared" si="3"/>
        <v>0.82699999999999996</v>
      </c>
      <c r="K17" s="91">
        <f t="shared" si="3"/>
        <v>0.82050000000000001</v>
      </c>
      <c r="L17" s="91">
        <f t="shared" si="3"/>
        <v>0.82050000000000001</v>
      </c>
      <c r="M17" s="91">
        <f t="shared" si="3"/>
        <v>0.82050000000000001</v>
      </c>
      <c r="N17" s="91">
        <f t="shared" si="3"/>
        <v>0.82050000000000001</v>
      </c>
      <c r="O17" s="92">
        <f t="shared" si="3"/>
        <v>0.82050000000000001</v>
      </c>
    </row>
    <row r="18" spans="2:17">
      <c r="B18" s="85" t="s">
        <v>259</v>
      </c>
      <c r="E18" s="75">
        <v>3</v>
      </c>
      <c r="F18" s="93">
        <f>F16+0.009</f>
        <v>0.88127</v>
      </c>
      <c r="G18" s="94">
        <f t="shared" ref="G18:O18" si="4">G16+0.009</f>
        <v>0.86862000000000006</v>
      </c>
      <c r="H18" s="94">
        <f t="shared" si="4"/>
        <v>0.86090999999999995</v>
      </c>
      <c r="I18" s="94">
        <f t="shared" si="4"/>
        <v>0.85199995187912025</v>
      </c>
      <c r="J18" s="94">
        <f t="shared" si="4"/>
        <v>0.84499999999999997</v>
      </c>
      <c r="K18" s="94">
        <f t="shared" si="4"/>
        <v>0.83850000000000002</v>
      </c>
      <c r="L18" s="94">
        <f t="shared" si="4"/>
        <v>0.83850000000000002</v>
      </c>
      <c r="M18" s="94">
        <f t="shared" si="4"/>
        <v>0.83850000000000002</v>
      </c>
      <c r="N18" s="94">
        <f t="shared" si="4"/>
        <v>0.83850000000000002</v>
      </c>
      <c r="O18" s="95">
        <f t="shared" si="4"/>
        <v>0.83850000000000002</v>
      </c>
    </row>
    <row r="19" spans="2:17">
      <c r="F19" s="25"/>
      <c r="G19" s="25"/>
      <c r="H19" s="25"/>
      <c r="I19" s="25"/>
      <c r="J19" s="25"/>
      <c r="K19" s="25"/>
      <c r="L19" s="25"/>
      <c r="M19" s="25"/>
      <c r="N19" s="25"/>
      <c r="O19" s="25"/>
    </row>
    <row r="20" spans="2:17">
      <c r="B20" t="s">
        <v>188</v>
      </c>
      <c r="F20" s="116">
        <f>CHOOSE(DCF!$D$4,F21,F22,F23)</f>
        <v>0.18061133468560125</v>
      </c>
      <c r="G20" s="116">
        <f>CHOOSE(DCF!$D$4,G21,G22,G23)</f>
        <v>0.15267321690623667</v>
      </c>
      <c r="H20" s="116">
        <f>CHOOSE(DCF!$D$4,H21,H22,H23)</f>
        <v>0.13420162809082956</v>
      </c>
      <c r="I20" s="116">
        <f>CHOOSE(DCF!$D$4,I21,I22,I23)</f>
        <v>0.12735541657393223</v>
      </c>
      <c r="J20" s="116">
        <f>CHOOSE(DCF!$D$4,J21,J22,J23)</f>
        <v>0.10689726311150125</v>
      </c>
      <c r="K20" s="116">
        <f>CHOOSE(DCF!$D$4,K21,K22,K23)</f>
        <v>9.035583648871201E-2</v>
      </c>
      <c r="L20" s="116">
        <f>CHOOSE(DCF!$D$4,L21,L22,L23)</f>
        <v>7.3670086834363352E-2</v>
      </c>
      <c r="M20" s="116">
        <f>CHOOSE(DCF!$D$4,M21,M22,M23)</f>
        <v>6.3E-2</v>
      </c>
      <c r="N20" s="116">
        <f>CHOOSE(DCF!$D$4,N21,N22,N23)</f>
        <v>5.1694916012158497E-2</v>
      </c>
      <c r="O20" s="116">
        <f>CHOOSE(DCF!$D$4,O21,O22,O23)</f>
        <v>4.5999999999999999E-2</v>
      </c>
    </row>
    <row r="21" spans="2:17">
      <c r="B21" s="85" t="s">
        <v>160</v>
      </c>
      <c r="E21" s="75">
        <v>1</v>
      </c>
      <c r="F21" s="87">
        <v>0.18061133468560125</v>
      </c>
      <c r="G21" s="88">
        <v>0.15267321690623667</v>
      </c>
      <c r="H21" s="88">
        <v>0.13420162809082956</v>
      </c>
      <c r="I21" s="88">
        <v>0.12735541657393223</v>
      </c>
      <c r="J21" s="88">
        <v>0.10689726311150125</v>
      </c>
      <c r="K21" s="88">
        <v>9.035583648871201E-2</v>
      </c>
      <c r="L21" s="88">
        <v>7.3670086834363352E-2</v>
      </c>
      <c r="M21" s="88">
        <v>6.3E-2</v>
      </c>
      <c r="N21" s="88">
        <v>5.1694916012158497E-2</v>
      </c>
      <c r="O21" s="89">
        <v>4.5999999999999999E-2</v>
      </c>
    </row>
    <row r="22" spans="2:17">
      <c r="B22" s="85" t="s">
        <v>258</v>
      </c>
      <c r="E22" s="75">
        <v>2</v>
      </c>
      <c r="F22" s="90">
        <f>F21-0.01</f>
        <v>0.17061133468560125</v>
      </c>
      <c r="G22" s="91">
        <f t="shared" ref="G22:O22" si="5">G21-0.01</f>
        <v>0.14267321690623666</v>
      </c>
      <c r="H22" s="91">
        <f t="shared" si="5"/>
        <v>0.12420162809082956</v>
      </c>
      <c r="I22" s="91">
        <f t="shared" si="5"/>
        <v>0.11735541657393224</v>
      </c>
      <c r="J22" s="91">
        <f t="shared" si="5"/>
        <v>9.689726311150125E-2</v>
      </c>
      <c r="K22" s="91">
        <f t="shared" si="5"/>
        <v>8.0355836488712015E-2</v>
      </c>
      <c r="L22" s="91">
        <f t="shared" si="5"/>
        <v>6.3670086834363357E-2</v>
      </c>
      <c r="M22" s="91">
        <f t="shared" si="5"/>
        <v>5.2999999999999999E-2</v>
      </c>
      <c r="N22" s="91">
        <f t="shared" si="5"/>
        <v>4.1694916012158495E-2</v>
      </c>
      <c r="O22" s="92">
        <f t="shared" si="5"/>
        <v>3.5999999999999997E-2</v>
      </c>
      <c r="Q22" s="268"/>
    </row>
    <row r="23" spans="2:17">
      <c r="B23" s="85" t="s">
        <v>259</v>
      </c>
      <c r="E23" s="75">
        <v>3</v>
      </c>
      <c r="F23" s="93">
        <f>F21+0.01</f>
        <v>0.19061133468560126</v>
      </c>
      <c r="G23" s="94">
        <f t="shared" ref="G23:O23" si="6">G21+0.01</f>
        <v>0.16267321690623668</v>
      </c>
      <c r="H23" s="94">
        <f t="shared" si="6"/>
        <v>0.14420162809082956</v>
      </c>
      <c r="I23" s="94">
        <f t="shared" si="6"/>
        <v>0.13735541657393224</v>
      </c>
      <c r="J23" s="94">
        <f t="shared" si="6"/>
        <v>0.11689726311150124</v>
      </c>
      <c r="K23" s="94">
        <f t="shared" si="6"/>
        <v>0.10035583648871201</v>
      </c>
      <c r="L23" s="94">
        <f t="shared" si="6"/>
        <v>8.3670086834363347E-2</v>
      </c>
      <c r="M23" s="94">
        <f t="shared" si="6"/>
        <v>7.2999999999999995E-2</v>
      </c>
      <c r="N23" s="94">
        <f t="shared" si="6"/>
        <v>6.1694916012158499E-2</v>
      </c>
      <c r="O23" s="95">
        <f t="shared" si="6"/>
        <v>5.6000000000000001E-2</v>
      </c>
    </row>
    <row r="24" spans="2:17"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86"/>
    </row>
    <row r="25" spans="2:17">
      <c r="B25" t="s">
        <v>189</v>
      </c>
      <c r="F25" s="116">
        <f>CHOOSE(DCF!$D$4,F26,F27,F28)</f>
        <v>0.01</v>
      </c>
      <c r="G25" s="116">
        <f>CHOOSE(DCF!$D$4,G26,G27,G28)</f>
        <v>9.6045260192503118E-3</v>
      </c>
      <c r="H25" s="116">
        <f>CHOOSE(DCF!$D$4,H26,H27,H28)</f>
        <v>9.2090520385006217E-3</v>
      </c>
      <c r="I25" s="116">
        <f>CHOOSE(DCF!$D$4,I26,I27,I28)</f>
        <v>8.8135780577509315E-3</v>
      </c>
      <c r="J25" s="116">
        <f>CHOOSE(DCF!$D$4,J26,J27,J28)</f>
        <v>8.4181040770012414E-3</v>
      </c>
      <c r="K25" s="116">
        <f>CHOOSE(DCF!$D$4,K26,K27,K28)</f>
        <v>8.0226300962515512E-3</v>
      </c>
      <c r="L25" s="116">
        <f>CHOOSE(DCF!$D$4,L26,L27,L28)</f>
        <v>7.6271561155018619E-3</v>
      </c>
      <c r="M25" s="116">
        <f>CHOOSE(DCF!$D$4,M26,M27,M28)</f>
        <v>7.2316821347521727E-3</v>
      </c>
      <c r="N25" s="116">
        <f>CHOOSE(DCF!$D$4,N26,N27,N28)</f>
        <v>6.8362081540024834E-3</v>
      </c>
      <c r="O25" s="116">
        <f>CHOOSE(DCF!$D$4,O26,O27,O28)</f>
        <v>6.836208154002486E-3</v>
      </c>
    </row>
    <row r="26" spans="2:17">
      <c r="B26" s="85" t="s">
        <v>160</v>
      </c>
      <c r="E26" s="75">
        <v>1</v>
      </c>
      <c r="F26" s="87">
        <v>0.01</v>
      </c>
      <c r="G26" s="88">
        <v>9.6045260192503118E-3</v>
      </c>
      <c r="H26" s="88">
        <v>9.2090520385006217E-3</v>
      </c>
      <c r="I26" s="88">
        <v>8.8135780577509315E-3</v>
      </c>
      <c r="J26" s="88">
        <v>8.4181040770012414E-3</v>
      </c>
      <c r="K26" s="88">
        <v>8.0226300962515512E-3</v>
      </c>
      <c r="L26" s="88">
        <v>7.6271561155018619E-3</v>
      </c>
      <c r="M26" s="88">
        <v>7.2316821347521727E-3</v>
      </c>
      <c r="N26" s="88">
        <v>6.8362081540024834E-3</v>
      </c>
      <c r="O26" s="89">
        <v>6.836208154002486E-3</v>
      </c>
    </row>
    <row r="27" spans="2:17">
      <c r="B27" s="85" t="s">
        <v>258</v>
      </c>
      <c r="E27" s="75">
        <v>2</v>
      </c>
      <c r="F27" s="90">
        <f>+F26-0.001</f>
        <v>9.0000000000000011E-3</v>
      </c>
      <c r="G27" s="91">
        <f t="shared" ref="G27:O27" si="7">+G26-0.001</f>
        <v>8.6045260192503109E-3</v>
      </c>
      <c r="H27" s="91">
        <f t="shared" si="7"/>
        <v>8.2090520385006208E-3</v>
      </c>
      <c r="I27" s="91">
        <f t="shared" si="7"/>
        <v>7.8135780577509306E-3</v>
      </c>
      <c r="J27" s="91">
        <f t="shared" si="7"/>
        <v>7.4181040770012413E-3</v>
      </c>
      <c r="K27" s="91">
        <f t="shared" si="7"/>
        <v>7.0226300962515512E-3</v>
      </c>
      <c r="L27" s="91">
        <f t="shared" si="7"/>
        <v>6.6271561155018619E-3</v>
      </c>
      <c r="M27" s="91">
        <f t="shared" si="7"/>
        <v>6.2316821347521726E-3</v>
      </c>
      <c r="N27" s="91">
        <f t="shared" si="7"/>
        <v>5.8362081540024834E-3</v>
      </c>
      <c r="O27" s="92">
        <f t="shared" si="7"/>
        <v>5.836208154002486E-3</v>
      </c>
    </row>
    <row r="28" spans="2:17">
      <c r="B28" s="85" t="s">
        <v>259</v>
      </c>
      <c r="E28" s="75">
        <v>3</v>
      </c>
      <c r="F28" s="93">
        <f>F26+0.001</f>
        <v>1.0999999999999999E-2</v>
      </c>
      <c r="G28" s="94">
        <f t="shared" ref="G28:O28" si="8">G26+0.001</f>
        <v>1.0604526019250313E-2</v>
      </c>
      <c r="H28" s="94">
        <f t="shared" si="8"/>
        <v>1.0209052038500623E-2</v>
      </c>
      <c r="I28" s="94">
        <f t="shared" si="8"/>
        <v>9.8135780577509324E-3</v>
      </c>
      <c r="J28" s="94">
        <f t="shared" si="8"/>
        <v>9.4181040770012422E-3</v>
      </c>
      <c r="K28" s="94">
        <f t="shared" si="8"/>
        <v>9.0226300962515521E-3</v>
      </c>
      <c r="L28" s="94">
        <f t="shared" si="8"/>
        <v>8.627156115501862E-3</v>
      </c>
      <c r="M28" s="94">
        <f t="shared" si="8"/>
        <v>8.2316821347521718E-3</v>
      </c>
      <c r="N28" s="94">
        <f t="shared" si="8"/>
        <v>7.8362081540024834E-3</v>
      </c>
      <c r="O28" s="95">
        <f t="shared" si="8"/>
        <v>7.8362081540024851E-3</v>
      </c>
    </row>
    <row r="30" spans="2:17">
      <c r="B30" s="96" t="s">
        <v>238</v>
      </c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2:17">
      <c r="B31" t="s">
        <v>190</v>
      </c>
      <c r="F31" s="116">
        <f>CHOOSE(DCF!$D$4,F32,F33,F34)</f>
        <v>4.4522253194471666E-2</v>
      </c>
      <c r="G31" s="116">
        <f>CHOOSE(DCF!$D$4,G32,G33,G34)</f>
        <v>3.2504230867524041E-2</v>
      </c>
      <c r="H31" s="116">
        <f>CHOOSE(DCF!$D$4,H32,H33,H34)</f>
        <v>2.354732153903254E-2</v>
      </c>
      <c r="I31" s="116">
        <f>CHOOSE(DCF!$D$4,I32,I33,I34)</f>
        <v>1.5879890284394398E-2</v>
      </c>
      <c r="J31" s="116">
        <f>CHOOSE(DCF!$D$4,J32,J33,J34)</f>
        <v>1.2086113863429783E-2</v>
      </c>
      <c r="K31" s="116">
        <f>CHOOSE(DCF!$D$4,K32,K33,K34)</f>
        <v>1.2086113863429783E-2</v>
      </c>
      <c r="L31" s="116">
        <f>CHOOSE(DCF!$D$4,L32,L33,L34)</f>
        <v>1.2086113863429783E-2</v>
      </c>
      <c r="M31" s="116">
        <f>CHOOSE(DCF!$D$4,M32,M33,M34)</f>
        <v>1.2086113863429783E-2</v>
      </c>
      <c r="N31" s="116">
        <f>CHOOSE(DCF!$D$4,N32,N33,N34)</f>
        <v>1.2086113863429783E-2</v>
      </c>
      <c r="O31" s="116">
        <f>CHOOSE(DCF!$D$4,O32,O33,O34)</f>
        <v>1.2086113863429783E-2</v>
      </c>
    </row>
    <row r="32" spans="2:17">
      <c r="B32" s="85" t="s">
        <v>160</v>
      </c>
      <c r="E32" s="75">
        <v>1</v>
      </c>
      <c r="F32" s="87">
        <v>4.4522253194471666E-2</v>
      </c>
      <c r="G32" s="88">
        <v>3.2504230867524041E-2</v>
      </c>
      <c r="H32" s="88">
        <v>2.354732153903254E-2</v>
      </c>
      <c r="I32" s="88">
        <v>1.5879890284394398E-2</v>
      </c>
      <c r="J32" s="88">
        <v>1.2086113863429783E-2</v>
      </c>
      <c r="K32" s="88">
        <v>1.2086113863429783E-2</v>
      </c>
      <c r="L32" s="88">
        <v>1.2086113863429783E-2</v>
      </c>
      <c r="M32" s="88">
        <v>1.2086113863429783E-2</v>
      </c>
      <c r="N32" s="88">
        <v>1.2086113863429783E-2</v>
      </c>
      <c r="O32" s="89">
        <v>1.2086113863429783E-2</v>
      </c>
    </row>
    <row r="33" spans="2:15">
      <c r="B33" s="85" t="s">
        <v>258</v>
      </c>
      <c r="E33" s="75">
        <v>2</v>
      </c>
      <c r="F33" s="90">
        <f>+F32-0.002</f>
        <v>4.2522253194471664E-2</v>
      </c>
      <c r="G33" s="91">
        <f t="shared" ref="G33:O33" si="9">+G32-0.002</f>
        <v>3.0504230867524039E-2</v>
      </c>
      <c r="H33" s="91">
        <f t="shared" si="9"/>
        <v>2.1547321539032542E-2</v>
      </c>
      <c r="I33" s="91">
        <f t="shared" si="9"/>
        <v>1.3879890284394398E-2</v>
      </c>
      <c r="J33" s="91">
        <f t="shared" si="9"/>
        <v>1.0086113863429783E-2</v>
      </c>
      <c r="K33" s="91">
        <f t="shared" si="9"/>
        <v>1.0086113863429783E-2</v>
      </c>
      <c r="L33" s="91">
        <f t="shared" si="9"/>
        <v>1.0086113863429783E-2</v>
      </c>
      <c r="M33" s="91">
        <f t="shared" si="9"/>
        <v>1.0086113863429783E-2</v>
      </c>
      <c r="N33" s="91">
        <f t="shared" si="9"/>
        <v>1.0086113863429783E-2</v>
      </c>
      <c r="O33" s="92">
        <f t="shared" si="9"/>
        <v>1.0086113863429783E-2</v>
      </c>
    </row>
    <row r="34" spans="2:15">
      <c r="B34" s="85" t="s">
        <v>259</v>
      </c>
      <c r="E34" s="75">
        <v>3</v>
      </c>
      <c r="F34" s="93">
        <f>F32+0.002</f>
        <v>4.6522253194471667E-2</v>
      </c>
      <c r="G34" s="94">
        <f t="shared" ref="G34:O34" si="10">G32+0.002</f>
        <v>3.4504230867524043E-2</v>
      </c>
      <c r="H34" s="94">
        <f t="shared" si="10"/>
        <v>2.5547321539032539E-2</v>
      </c>
      <c r="I34" s="94">
        <f t="shared" si="10"/>
        <v>1.7879890284394399E-2</v>
      </c>
      <c r="J34" s="94">
        <f t="shared" si="10"/>
        <v>1.4086113863429783E-2</v>
      </c>
      <c r="K34" s="94">
        <f t="shared" si="10"/>
        <v>1.4086113863429783E-2</v>
      </c>
      <c r="L34" s="94">
        <f t="shared" si="10"/>
        <v>1.4086113863429783E-2</v>
      </c>
      <c r="M34" s="94">
        <f t="shared" si="10"/>
        <v>1.4086113863429783E-2</v>
      </c>
      <c r="N34" s="94">
        <f t="shared" si="10"/>
        <v>1.4086113863429783E-2</v>
      </c>
      <c r="O34" s="95">
        <f t="shared" si="10"/>
        <v>1.4086113863429783E-2</v>
      </c>
    </row>
    <row r="35" spans="2:15">
      <c r="B35" s="85"/>
      <c r="E35" s="75"/>
      <c r="F35" s="115"/>
      <c r="G35" s="115"/>
      <c r="H35" s="115"/>
      <c r="I35" s="115"/>
      <c r="J35" s="115"/>
      <c r="K35" s="115"/>
      <c r="L35" s="115"/>
      <c r="M35" s="115"/>
      <c r="N35" s="115"/>
      <c r="O35" s="115"/>
    </row>
  </sheetData>
  <mergeCells count="1">
    <mergeCell ref="F5:O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A56A1-31E8-4270-AE9B-EB573325E96E}">
  <dimension ref="B1:P34"/>
  <sheetViews>
    <sheetView showGridLines="0" zoomScaleNormal="100" workbookViewId="0">
      <selection activeCell="R24" sqref="R24"/>
    </sheetView>
  </sheetViews>
  <sheetFormatPr baseColWidth="10" defaultColWidth="12.6640625" defaultRowHeight="15"/>
  <cols>
    <col min="1" max="1" width="1.6640625" customWidth="1"/>
  </cols>
  <sheetData>
    <row r="1" spans="2:15" ht="26">
      <c r="B1" s="2" t="s">
        <v>86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21">
      <c r="B2" s="3" t="s">
        <v>197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>
      <c r="B3" s="4" t="s">
        <v>158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5" spans="2:15">
      <c r="F5" s="478" t="s">
        <v>156</v>
      </c>
      <c r="G5" s="478"/>
      <c r="H5" s="478"/>
      <c r="I5" s="478"/>
      <c r="J5" s="478"/>
      <c r="K5" s="478"/>
      <c r="L5" s="478"/>
      <c r="M5" s="478"/>
      <c r="N5" s="478"/>
      <c r="O5" s="478"/>
    </row>
    <row r="6" spans="2:15">
      <c r="F6" s="35" t="s">
        <v>226</v>
      </c>
      <c r="G6" s="35" t="s">
        <v>227</v>
      </c>
      <c r="H6" s="35" t="s">
        <v>228</v>
      </c>
      <c r="I6" s="35" t="s">
        <v>229</v>
      </c>
      <c r="J6" s="35" t="s">
        <v>230</v>
      </c>
      <c r="K6" s="35" t="s">
        <v>231</v>
      </c>
      <c r="L6" s="35" t="s">
        <v>232</v>
      </c>
      <c r="M6" s="35" t="s">
        <v>233</v>
      </c>
      <c r="N6" s="35" t="s">
        <v>234</v>
      </c>
      <c r="O6" s="35" t="s">
        <v>235</v>
      </c>
    </row>
    <row r="7" spans="2:15">
      <c r="F7" s="12">
        <v>2019</v>
      </c>
      <c r="G7" s="12">
        <v>2020</v>
      </c>
      <c r="H7" s="12">
        <v>2021</v>
      </c>
      <c r="I7" s="12">
        <v>2022</v>
      </c>
      <c r="J7" s="12">
        <v>2023</v>
      </c>
      <c r="K7" s="12">
        <v>2024</v>
      </c>
      <c r="L7" s="12">
        <v>2025</v>
      </c>
      <c r="M7" s="12">
        <v>2026</v>
      </c>
      <c r="N7" s="12">
        <v>2027</v>
      </c>
      <c r="O7" s="12">
        <v>2028</v>
      </c>
    </row>
    <row r="9" spans="2:15">
      <c r="B9" s="37" t="s">
        <v>198</v>
      </c>
      <c r="F9" s="25"/>
      <c r="G9" s="25"/>
      <c r="H9" s="25"/>
      <c r="I9" s="25"/>
      <c r="J9" s="135"/>
      <c r="K9" s="25"/>
      <c r="L9" s="25"/>
      <c r="M9" s="25"/>
      <c r="N9" s="25"/>
      <c r="O9" s="25"/>
    </row>
    <row r="10" spans="2:15">
      <c r="B10" t="s">
        <v>239</v>
      </c>
      <c r="F10" s="117">
        <f>CHOOSE(DCF!$D$4,F11,F12,F13)</f>
        <v>7</v>
      </c>
      <c r="G10" s="117">
        <f>CHOOSE(DCF!$D$4,G11,G12,G13)</f>
        <v>6.666666666666667</v>
      </c>
      <c r="H10" s="117">
        <f>CHOOSE(DCF!$D$4,H11,H12,H13)</f>
        <v>6.3333333333333339</v>
      </c>
      <c r="I10" s="117">
        <f>CHOOSE(DCF!$D$4,I11,I12,I13)</f>
        <v>6.0000000000000009</v>
      </c>
      <c r="J10" s="117">
        <f>CHOOSE(DCF!$D$4,J11,J12,J13)</f>
        <v>5.6666666666666679</v>
      </c>
      <c r="K10" s="117">
        <f>CHOOSE(DCF!$D$4,K11,K12,K13)</f>
        <v>5.3333333333333348</v>
      </c>
      <c r="L10" s="117">
        <f>CHOOSE(DCF!$D$4,L11,L12,L13)</f>
        <v>5.0000000000000018</v>
      </c>
      <c r="M10" s="117">
        <f>CHOOSE(DCF!$D$4,M11,M12,M13)</f>
        <v>4.6666666666666687</v>
      </c>
      <c r="N10" s="117">
        <f>CHOOSE(DCF!$D$4,N11,N12,N13)</f>
        <v>4.3333333333333357</v>
      </c>
      <c r="O10" s="117">
        <f>CHOOSE(DCF!$D$4,O11,O12,O13)</f>
        <v>4</v>
      </c>
    </row>
    <row r="11" spans="2:15">
      <c r="B11" s="85" t="s">
        <v>160</v>
      </c>
      <c r="E11" s="75">
        <v>1</v>
      </c>
      <c r="F11" s="118">
        <v>7</v>
      </c>
      <c r="G11" s="119">
        <v>6.666666666666667</v>
      </c>
      <c r="H11" s="119">
        <v>6.3333333333333339</v>
      </c>
      <c r="I11" s="119">
        <v>6.0000000000000009</v>
      </c>
      <c r="J11" s="119">
        <v>5.6666666666666679</v>
      </c>
      <c r="K11" s="119">
        <v>5.3333333333333348</v>
      </c>
      <c r="L11" s="119">
        <v>5.0000000000000018</v>
      </c>
      <c r="M11" s="119">
        <v>4.6666666666666687</v>
      </c>
      <c r="N11" s="119">
        <v>4.3333333333333357</v>
      </c>
      <c r="O11" s="120">
        <v>4</v>
      </c>
    </row>
    <row r="12" spans="2:15">
      <c r="B12" s="85" t="s">
        <v>258</v>
      </c>
      <c r="E12" s="75">
        <v>2</v>
      </c>
      <c r="F12" s="121">
        <f>F11-0.5</f>
        <v>6.5</v>
      </c>
      <c r="G12" s="122">
        <f t="shared" ref="G12:O12" si="0">G11-0.5</f>
        <v>6.166666666666667</v>
      </c>
      <c r="H12" s="122">
        <f t="shared" si="0"/>
        <v>5.8333333333333339</v>
      </c>
      <c r="I12" s="122">
        <f t="shared" si="0"/>
        <v>5.5000000000000009</v>
      </c>
      <c r="J12" s="122">
        <f t="shared" si="0"/>
        <v>5.1666666666666679</v>
      </c>
      <c r="K12" s="122">
        <f t="shared" si="0"/>
        <v>4.8333333333333348</v>
      </c>
      <c r="L12" s="122">
        <f t="shared" si="0"/>
        <v>4.5000000000000018</v>
      </c>
      <c r="M12" s="122">
        <f t="shared" si="0"/>
        <v>4.1666666666666687</v>
      </c>
      <c r="N12" s="122">
        <f t="shared" si="0"/>
        <v>3.8333333333333357</v>
      </c>
      <c r="O12" s="123">
        <f t="shared" si="0"/>
        <v>3.5</v>
      </c>
    </row>
    <row r="13" spans="2:15">
      <c r="B13" s="85" t="s">
        <v>259</v>
      </c>
      <c r="E13" s="75">
        <v>3</v>
      </c>
      <c r="F13" s="124">
        <f>F11+0.5</f>
        <v>7.5</v>
      </c>
      <c r="G13" s="125">
        <f t="shared" ref="G13:O13" si="1">G11+0.5</f>
        <v>7.166666666666667</v>
      </c>
      <c r="H13" s="125">
        <f t="shared" si="1"/>
        <v>6.8333333333333339</v>
      </c>
      <c r="I13" s="125">
        <f t="shared" si="1"/>
        <v>6.5000000000000009</v>
      </c>
      <c r="J13" s="125">
        <f t="shared" si="1"/>
        <v>6.1666666666666679</v>
      </c>
      <c r="K13" s="125">
        <f t="shared" si="1"/>
        <v>5.8333333333333348</v>
      </c>
      <c r="L13" s="125">
        <f t="shared" si="1"/>
        <v>5.5000000000000018</v>
      </c>
      <c r="M13" s="125">
        <f t="shared" si="1"/>
        <v>5.1666666666666687</v>
      </c>
      <c r="N13" s="125">
        <f t="shared" si="1"/>
        <v>4.8333333333333357</v>
      </c>
      <c r="O13" s="126">
        <f t="shared" si="1"/>
        <v>4.5</v>
      </c>
    </row>
    <row r="14" spans="2:15">
      <c r="F14" s="25"/>
      <c r="G14" s="25"/>
      <c r="H14" s="25"/>
      <c r="I14" s="25"/>
      <c r="J14" s="25"/>
      <c r="K14" s="25"/>
      <c r="L14" s="25"/>
      <c r="M14" s="25"/>
      <c r="N14" s="25"/>
      <c r="O14" s="25"/>
    </row>
    <row r="15" spans="2:15">
      <c r="B15" t="s">
        <v>240</v>
      </c>
      <c r="F15" s="117">
        <f>CHOOSE(DCF!$D$4,F16,F17,F18)</f>
        <v>90</v>
      </c>
      <c r="G15" s="117">
        <f>CHOOSE(DCF!$D$4,G16,G17,G18)</f>
        <v>87.777777777777771</v>
      </c>
      <c r="H15" s="117">
        <f>CHOOSE(DCF!$D$4,H16,H17,H18)</f>
        <v>85.555555555555543</v>
      </c>
      <c r="I15" s="117">
        <f>CHOOSE(DCF!$D$4,I16,I17,I18)</f>
        <v>83.333333333333314</v>
      </c>
      <c r="J15" s="117">
        <f>CHOOSE(DCF!$D$4,J16,J17,J18)</f>
        <v>81.111111111111086</v>
      </c>
      <c r="K15" s="117">
        <f>CHOOSE(DCF!$D$4,K16,K17,K18)</f>
        <v>78.888888888888857</v>
      </c>
      <c r="L15" s="117">
        <f>CHOOSE(DCF!$D$4,L16,L17,L18)</f>
        <v>76.666666666666629</v>
      </c>
      <c r="M15" s="117">
        <f>CHOOSE(DCF!$D$4,M16,M17,M18)</f>
        <v>74.4444444444444</v>
      </c>
      <c r="N15" s="117">
        <f>CHOOSE(DCF!$D$4,N16,N17,N18)</f>
        <v>72.222222222222172</v>
      </c>
      <c r="O15" s="117">
        <f>CHOOSE(DCF!$D$4,O16,O17,O18)</f>
        <v>70</v>
      </c>
    </row>
    <row r="16" spans="2:15">
      <c r="B16" s="85" t="s">
        <v>160</v>
      </c>
      <c r="E16" s="75">
        <v>1</v>
      </c>
      <c r="F16" s="118">
        <v>90</v>
      </c>
      <c r="G16" s="119">
        <v>87.777777777777771</v>
      </c>
      <c r="H16" s="119">
        <v>85.555555555555543</v>
      </c>
      <c r="I16" s="119">
        <v>83.333333333333314</v>
      </c>
      <c r="J16" s="119">
        <v>81.111111111111086</v>
      </c>
      <c r="K16" s="119">
        <v>78.888888888888857</v>
      </c>
      <c r="L16" s="119">
        <v>76.666666666666629</v>
      </c>
      <c r="M16" s="119">
        <v>74.4444444444444</v>
      </c>
      <c r="N16" s="119">
        <v>72.222222222222172</v>
      </c>
      <c r="O16" s="120">
        <v>70</v>
      </c>
    </row>
    <row r="17" spans="2:16">
      <c r="B17" s="85" t="s">
        <v>258</v>
      </c>
      <c r="E17" s="75">
        <v>2</v>
      </c>
      <c r="F17" s="121">
        <f>F16+15</f>
        <v>105</v>
      </c>
      <c r="G17" s="122">
        <f t="shared" ref="G17:O17" si="2">G16+15</f>
        <v>102.77777777777777</v>
      </c>
      <c r="H17" s="122">
        <f t="shared" si="2"/>
        <v>100.55555555555554</v>
      </c>
      <c r="I17" s="122">
        <f t="shared" si="2"/>
        <v>98.333333333333314</v>
      </c>
      <c r="J17" s="122">
        <f t="shared" si="2"/>
        <v>96.111111111111086</v>
      </c>
      <c r="K17" s="122">
        <f t="shared" si="2"/>
        <v>93.888888888888857</v>
      </c>
      <c r="L17" s="122">
        <f t="shared" si="2"/>
        <v>91.666666666666629</v>
      </c>
      <c r="M17" s="122">
        <f t="shared" si="2"/>
        <v>89.4444444444444</v>
      </c>
      <c r="N17" s="122">
        <f t="shared" si="2"/>
        <v>87.222222222222172</v>
      </c>
      <c r="O17" s="123">
        <f t="shared" si="2"/>
        <v>85</v>
      </c>
    </row>
    <row r="18" spans="2:16">
      <c r="B18" s="85" t="s">
        <v>259</v>
      </c>
      <c r="E18" s="75">
        <v>3</v>
      </c>
      <c r="F18" s="124">
        <f>F16-15</f>
        <v>75</v>
      </c>
      <c r="G18" s="125">
        <f t="shared" ref="G18:O18" si="3">G16-15</f>
        <v>72.777777777777771</v>
      </c>
      <c r="H18" s="125">
        <f t="shared" si="3"/>
        <v>70.555555555555543</v>
      </c>
      <c r="I18" s="125">
        <f t="shared" si="3"/>
        <v>68.333333333333314</v>
      </c>
      <c r="J18" s="125">
        <f t="shared" si="3"/>
        <v>66.111111111111086</v>
      </c>
      <c r="K18" s="125">
        <f t="shared" si="3"/>
        <v>63.888888888888857</v>
      </c>
      <c r="L18" s="125">
        <f t="shared" si="3"/>
        <v>61.666666666666629</v>
      </c>
      <c r="M18" s="125">
        <f t="shared" si="3"/>
        <v>59.4444444444444</v>
      </c>
      <c r="N18" s="125">
        <f t="shared" si="3"/>
        <v>57.222222222222172</v>
      </c>
      <c r="O18" s="126">
        <f t="shared" si="3"/>
        <v>55</v>
      </c>
    </row>
    <row r="19" spans="2:16">
      <c r="F19" s="25"/>
      <c r="G19" s="25"/>
      <c r="H19" s="25"/>
      <c r="I19" s="25"/>
      <c r="J19" s="25"/>
      <c r="K19" s="25"/>
      <c r="L19" s="25"/>
      <c r="M19" s="25"/>
      <c r="N19" s="25"/>
      <c r="O19" s="25"/>
    </row>
    <row r="20" spans="2:16">
      <c r="B20" t="s">
        <v>241</v>
      </c>
      <c r="F20" s="116">
        <f>CHOOSE(DCF!$D$4,F21,F22,F23)</f>
        <v>0.09</v>
      </c>
      <c r="G20" s="116">
        <f>CHOOSE(DCF!$D$4,G21,G22,G23)</f>
        <v>0.09</v>
      </c>
      <c r="H20" s="116">
        <f>CHOOSE(DCF!$D$4,H21,H22,H23)</f>
        <v>0.09</v>
      </c>
      <c r="I20" s="116">
        <f>CHOOSE(DCF!$D$4,I21,I22,I23)</f>
        <v>0.09</v>
      </c>
      <c r="J20" s="116">
        <f>CHOOSE(DCF!$D$4,J21,J22,J23)</f>
        <v>0.09</v>
      </c>
      <c r="K20" s="116">
        <f>CHOOSE(DCF!$D$4,K21,K22,K23)</f>
        <v>0.09</v>
      </c>
      <c r="L20" s="116">
        <f>CHOOSE(DCF!$D$4,L21,L22,L23)</f>
        <v>0.09</v>
      </c>
      <c r="M20" s="116">
        <f>CHOOSE(DCF!$D$4,M21,M22,M23)</f>
        <v>0.09</v>
      </c>
      <c r="N20" s="116">
        <f>CHOOSE(DCF!$D$4,N21,N22,N23)</f>
        <v>0.09</v>
      </c>
      <c r="O20" s="116">
        <f>CHOOSE(DCF!$D$4,O21,O22,O23)</f>
        <v>0.09</v>
      </c>
    </row>
    <row r="21" spans="2:16">
      <c r="B21" s="85" t="s">
        <v>160</v>
      </c>
      <c r="E21" s="75">
        <v>1</v>
      </c>
      <c r="F21" s="87">
        <v>0.09</v>
      </c>
      <c r="G21" s="88">
        <f>F21</f>
        <v>0.09</v>
      </c>
      <c r="H21" s="88">
        <f t="shared" ref="H21:O21" si="4">G21</f>
        <v>0.09</v>
      </c>
      <c r="I21" s="88">
        <f t="shared" si="4"/>
        <v>0.09</v>
      </c>
      <c r="J21" s="88">
        <f t="shared" si="4"/>
        <v>0.09</v>
      </c>
      <c r="K21" s="88">
        <f t="shared" si="4"/>
        <v>0.09</v>
      </c>
      <c r="L21" s="88">
        <f t="shared" si="4"/>
        <v>0.09</v>
      </c>
      <c r="M21" s="88">
        <f t="shared" si="4"/>
        <v>0.09</v>
      </c>
      <c r="N21" s="88">
        <f t="shared" si="4"/>
        <v>0.09</v>
      </c>
      <c r="O21" s="89">
        <f t="shared" si="4"/>
        <v>0.09</v>
      </c>
    </row>
    <row r="22" spans="2:16">
      <c r="B22" s="85" t="s">
        <v>258</v>
      </c>
      <c r="E22" s="75">
        <v>2</v>
      </c>
      <c r="F22" s="90">
        <f>F21-0.01</f>
        <v>0.08</v>
      </c>
      <c r="G22" s="91">
        <f>F22</f>
        <v>0.08</v>
      </c>
      <c r="H22" s="91">
        <f t="shared" ref="H22:O23" si="5">G22</f>
        <v>0.08</v>
      </c>
      <c r="I22" s="91">
        <f t="shared" si="5"/>
        <v>0.08</v>
      </c>
      <c r="J22" s="91">
        <f t="shared" si="5"/>
        <v>0.08</v>
      </c>
      <c r="K22" s="91">
        <f t="shared" si="5"/>
        <v>0.08</v>
      </c>
      <c r="L22" s="91">
        <f t="shared" si="5"/>
        <v>0.08</v>
      </c>
      <c r="M22" s="91">
        <f t="shared" si="5"/>
        <v>0.08</v>
      </c>
      <c r="N22" s="91">
        <f t="shared" si="5"/>
        <v>0.08</v>
      </c>
      <c r="O22" s="92">
        <f t="shared" si="5"/>
        <v>0.08</v>
      </c>
    </row>
    <row r="23" spans="2:16">
      <c r="B23" s="85" t="s">
        <v>259</v>
      </c>
      <c r="E23" s="75">
        <v>3</v>
      </c>
      <c r="F23" s="93">
        <f>F21+0.01</f>
        <v>9.9999999999999992E-2</v>
      </c>
      <c r="G23" s="94">
        <f>F23</f>
        <v>9.9999999999999992E-2</v>
      </c>
      <c r="H23" s="94">
        <f t="shared" si="5"/>
        <v>9.9999999999999992E-2</v>
      </c>
      <c r="I23" s="94">
        <f t="shared" si="5"/>
        <v>9.9999999999999992E-2</v>
      </c>
      <c r="J23" s="94">
        <f t="shared" si="5"/>
        <v>9.9999999999999992E-2</v>
      </c>
      <c r="K23" s="94">
        <f t="shared" si="5"/>
        <v>9.9999999999999992E-2</v>
      </c>
      <c r="L23" s="94">
        <f t="shared" si="5"/>
        <v>9.9999999999999992E-2</v>
      </c>
      <c r="M23" s="94">
        <f t="shared" si="5"/>
        <v>9.9999999999999992E-2</v>
      </c>
      <c r="N23" s="94">
        <f t="shared" si="5"/>
        <v>9.9999999999999992E-2</v>
      </c>
      <c r="O23" s="95">
        <f t="shared" si="5"/>
        <v>9.9999999999999992E-2</v>
      </c>
    </row>
    <row r="24" spans="2:16">
      <c r="B24" s="85"/>
      <c r="E24" s="7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86"/>
    </row>
    <row r="25" spans="2:16">
      <c r="B25" s="96" t="s">
        <v>202</v>
      </c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 spans="2:16">
      <c r="B26" t="s">
        <v>211</v>
      </c>
      <c r="F26" s="117">
        <f>CHOOSE(DCF!$D$4,F27,F28,F29)</f>
        <v>25.425000000000001</v>
      </c>
      <c r="G26" s="117">
        <f>CHOOSE(DCF!$D$4,G27,G28,G29)</f>
        <v>24.486666666666668</v>
      </c>
      <c r="H26" s="117">
        <f>CHOOSE(DCF!$D$4,H27,H28,H29)</f>
        <v>23.548333333333336</v>
      </c>
      <c r="I26" s="117">
        <f>CHOOSE(DCF!$D$4,I27,I28,I29)</f>
        <v>22.610000000000003</v>
      </c>
      <c r="J26" s="117">
        <f>CHOOSE(DCF!$D$4,J27,J28,J29)</f>
        <v>21.67166666666667</v>
      </c>
      <c r="K26" s="117">
        <f>CHOOSE(DCF!$D$4,K27,K28,K29)</f>
        <v>20.733333333333338</v>
      </c>
      <c r="L26" s="117">
        <f>CHOOSE(DCF!$D$4,L27,L28,L29)</f>
        <v>19.795000000000005</v>
      </c>
      <c r="M26" s="117">
        <f>CHOOSE(DCF!$D$4,M27,M28,M29)</f>
        <v>18.856666666666673</v>
      </c>
      <c r="N26" s="117">
        <f>CHOOSE(DCF!$D$4,N27,N28,N29)</f>
        <v>17.91833333333334</v>
      </c>
      <c r="O26" s="117">
        <f>CHOOSE(DCF!$D$4,O27,O28,O29)</f>
        <v>17</v>
      </c>
    </row>
    <row r="27" spans="2:16">
      <c r="B27" s="85" t="s">
        <v>160</v>
      </c>
      <c r="E27" s="75">
        <v>1</v>
      </c>
      <c r="F27" s="118">
        <v>25.425000000000001</v>
      </c>
      <c r="G27" s="119">
        <v>24.486666666666668</v>
      </c>
      <c r="H27" s="119">
        <v>23.548333333333336</v>
      </c>
      <c r="I27" s="119">
        <v>22.610000000000003</v>
      </c>
      <c r="J27" s="119">
        <v>21.67166666666667</v>
      </c>
      <c r="K27" s="119">
        <v>20.733333333333338</v>
      </c>
      <c r="L27" s="119">
        <v>19.795000000000005</v>
      </c>
      <c r="M27" s="119">
        <v>18.856666666666673</v>
      </c>
      <c r="N27" s="119">
        <v>17.91833333333334</v>
      </c>
      <c r="O27" s="120">
        <v>17</v>
      </c>
    </row>
    <row r="28" spans="2:16">
      <c r="B28" s="85" t="s">
        <v>258</v>
      </c>
      <c r="E28" s="75">
        <v>2</v>
      </c>
      <c r="F28" s="121">
        <f>F27-2.5</f>
        <v>22.925000000000001</v>
      </c>
      <c r="G28" s="122">
        <f t="shared" ref="G28:O28" si="6">G27-2.5</f>
        <v>21.986666666666668</v>
      </c>
      <c r="H28" s="122">
        <f t="shared" si="6"/>
        <v>21.048333333333336</v>
      </c>
      <c r="I28" s="122">
        <f t="shared" si="6"/>
        <v>20.110000000000003</v>
      </c>
      <c r="J28" s="122">
        <f t="shared" si="6"/>
        <v>19.17166666666667</v>
      </c>
      <c r="K28" s="122">
        <f t="shared" si="6"/>
        <v>18.233333333333338</v>
      </c>
      <c r="L28" s="122">
        <f t="shared" si="6"/>
        <v>17.295000000000005</v>
      </c>
      <c r="M28" s="122">
        <f t="shared" si="6"/>
        <v>16.356666666666673</v>
      </c>
      <c r="N28" s="122">
        <f t="shared" si="6"/>
        <v>15.41833333333334</v>
      </c>
      <c r="O28" s="123">
        <f t="shared" si="6"/>
        <v>14.5</v>
      </c>
    </row>
    <row r="29" spans="2:16">
      <c r="B29" s="85" t="s">
        <v>259</v>
      </c>
      <c r="E29" s="75">
        <v>3</v>
      </c>
      <c r="F29" s="124">
        <f>F27+2.5</f>
        <v>27.925000000000001</v>
      </c>
      <c r="G29" s="125">
        <f t="shared" ref="G29:O29" si="7">G27+2.5</f>
        <v>26.986666666666668</v>
      </c>
      <c r="H29" s="125">
        <f t="shared" si="7"/>
        <v>26.048333333333336</v>
      </c>
      <c r="I29" s="125">
        <f t="shared" si="7"/>
        <v>25.110000000000003</v>
      </c>
      <c r="J29" s="125">
        <f t="shared" si="7"/>
        <v>24.17166666666667</v>
      </c>
      <c r="K29" s="125">
        <f t="shared" si="7"/>
        <v>23.233333333333338</v>
      </c>
      <c r="L29" s="125">
        <f t="shared" si="7"/>
        <v>22.295000000000005</v>
      </c>
      <c r="M29" s="125">
        <f t="shared" si="7"/>
        <v>21.356666666666673</v>
      </c>
      <c r="N29" s="125">
        <f t="shared" si="7"/>
        <v>20.41833333333334</v>
      </c>
      <c r="O29" s="126">
        <f t="shared" si="7"/>
        <v>19.5</v>
      </c>
    </row>
    <row r="30" spans="2:16">
      <c r="F30" s="97"/>
      <c r="G30" s="97"/>
      <c r="H30" s="97"/>
      <c r="I30" s="97"/>
      <c r="J30" s="97"/>
      <c r="K30" s="97"/>
      <c r="L30" s="97"/>
      <c r="M30" s="97"/>
      <c r="N30" s="97"/>
      <c r="O30" s="97"/>
    </row>
    <row r="31" spans="2:16">
      <c r="B31" t="s">
        <v>212</v>
      </c>
      <c r="F31" s="116">
        <f>CHOOSE(DCF!$D$4,F32,F33,F34)</f>
        <v>0.1125</v>
      </c>
      <c r="G31" s="116">
        <f>CHOOSE(DCF!$D$4,G32,G33,G34)</f>
        <v>0.11</v>
      </c>
      <c r="H31" s="116">
        <f>CHOOSE(DCF!$D$4,H32,H33,H34)</f>
        <v>0.1075</v>
      </c>
      <c r="I31" s="116">
        <f>CHOOSE(DCF!$D$4,I32,I33,I34)</f>
        <v>0.105</v>
      </c>
      <c r="J31" s="116">
        <f>CHOOSE(DCF!$D$4,J32,J33,J34)</f>
        <v>0.10249999999999999</v>
      </c>
      <c r="K31" s="116">
        <f>CHOOSE(DCF!$D$4,K32,K33,K34)</f>
        <v>9.9999999999999992E-2</v>
      </c>
      <c r="L31" s="116">
        <f>CHOOSE(DCF!$D$4,L32,L33,L34)</f>
        <v>9.7499999999999989E-2</v>
      </c>
      <c r="M31" s="116">
        <f>CHOOSE(DCF!$D$4,M32,M33,M34)</f>
        <v>9.4999999999999987E-2</v>
      </c>
      <c r="N31" s="116">
        <f>CHOOSE(DCF!$D$4,N32,N33,N34)</f>
        <v>9.2499999999999985E-2</v>
      </c>
      <c r="O31" s="116">
        <f>CHOOSE(DCF!$D$4,O32,O33,O34)</f>
        <v>0.09</v>
      </c>
    </row>
    <row r="32" spans="2:16">
      <c r="B32" s="85" t="s">
        <v>160</v>
      </c>
      <c r="E32" s="75">
        <v>1</v>
      </c>
      <c r="F32" s="87">
        <v>0.1125</v>
      </c>
      <c r="G32" s="88">
        <v>0.11</v>
      </c>
      <c r="H32" s="88">
        <v>0.1075</v>
      </c>
      <c r="I32" s="88">
        <v>0.105</v>
      </c>
      <c r="J32" s="88">
        <v>0.10249999999999999</v>
      </c>
      <c r="K32" s="88">
        <v>9.9999999999999992E-2</v>
      </c>
      <c r="L32" s="88">
        <v>9.7499999999999989E-2</v>
      </c>
      <c r="M32" s="88">
        <v>9.4999999999999987E-2</v>
      </c>
      <c r="N32" s="88">
        <v>9.2499999999999985E-2</v>
      </c>
      <c r="O32" s="89">
        <v>0.09</v>
      </c>
    </row>
    <row r="33" spans="2:15">
      <c r="B33" s="85" t="s">
        <v>258</v>
      </c>
      <c r="E33" s="75">
        <v>2</v>
      </c>
      <c r="F33" s="90">
        <f>F32-0.01</f>
        <v>0.10250000000000001</v>
      </c>
      <c r="G33" s="91">
        <f t="shared" ref="G33:O33" si="8">G32-0.01</f>
        <v>0.1</v>
      </c>
      <c r="H33" s="91">
        <f t="shared" si="8"/>
        <v>9.7500000000000003E-2</v>
      </c>
      <c r="I33" s="91">
        <f t="shared" si="8"/>
        <v>9.5000000000000001E-2</v>
      </c>
      <c r="J33" s="91">
        <f t="shared" si="8"/>
        <v>9.2499999999999999E-2</v>
      </c>
      <c r="K33" s="91">
        <f t="shared" si="8"/>
        <v>0.09</v>
      </c>
      <c r="L33" s="91">
        <f t="shared" si="8"/>
        <v>8.7499999999999994E-2</v>
      </c>
      <c r="M33" s="91">
        <f t="shared" si="8"/>
        <v>8.4999999999999992E-2</v>
      </c>
      <c r="N33" s="91">
        <f t="shared" si="8"/>
        <v>8.249999999999999E-2</v>
      </c>
      <c r="O33" s="92">
        <f t="shared" si="8"/>
        <v>0.08</v>
      </c>
    </row>
    <row r="34" spans="2:15">
      <c r="B34" s="85" t="s">
        <v>259</v>
      </c>
      <c r="E34" s="75">
        <v>3</v>
      </c>
      <c r="F34" s="93">
        <f>F32+0.01</f>
        <v>0.1225</v>
      </c>
      <c r="G34" s="94">
        <f t="shared" ref="G34:O34" si="9">G32+0.01</f>
        <v>0.12</v>
      </c>
      <c r="H34" s="94">
        <f t="shared" si="9"/>
        <v>0.11749999999999999</v>
      </c>
      <c r="I34" s="94">
        <f t="shared" si="9"/>
        <v>0.11499999999999999</v>
      </c>
      <c r="J34" s="94">
        <f t="shared" si="9"/>
        <v>0.11249999999999999</v>
      </c>
      <c r="K34" s="94">
        <f t="shared" si="9"/>
        <v>0.10999999999999999</v>
      </c>
      <c r="L34" s="94">
        <f t="shared" si="9"/>
        <v>0.10749999999999998</v>
      </c>
      <c r="M34" s="94">
        <f t="shared" si="9"/>
        <v>0.10499999999999998</v>
      </c>
      <c r="N34" s="94">
        <f t="shared" si="9"/>
        <v>0.10249999999999998</v>
      </c>
      <c r="O34" s="95">
        <f t="shared" si="9"/>
        <v>9.9999999999999992E-2</v>
      </c>
    </row>
  </sheetData>
  <mergeCells count="1">
    <mergeCell ref="F5:O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CC93C-FFAD-441D-9B48-6B3B60A03092}">
  <sheetPr>
    <pageSetUpPr autoPageBreaks="0"/>
  </sheetPr>
  <dimension ref="B1:AJ230"/>
  <sheetViews>
    <sheetView showGridLines="0" zoomScaleNormal="100" workbookViewId="0">
      <selection activeCell="AF14" sqref="AF14"/>
    </sheetView>
  </sheetViews>
  <sheetFormatPr baseColWidth="10" defaultColWidth="12.6640625" defaultRowHeight="15"/>
  <cols>
    <col min="1" max="1" width="1.6640625" style="18" customWidth="1"/>
    <col min="2" max="2" width="42.6640625" style="172" customWidth="1"/>
    <col min="3" max="15" width="12.6640625" style="18"/>
    <col min="16" max="16" width="3.6640625" style="18" customWidth="1"/>
    <col min="17" max="17" width="42.6640625" style="18" customWidth="1"/>
    <col min="18" max="20" width="12.6640625" style="18"/>
    <col min="21" max="21" width="14" style="18" customWidth="1"/>
    <col min="22" max="22" width="12.6640625" style="18"/>
    <col min="23" max="23" width="14.33203125" style="18" bestFit="1" customWidth="1"/>
    <col min="24" max="31" width="14.6640625" style="18" customWidth="1"/>
    <col min="32" max="16384" width="12.6640625" style="18"/>
  </cols>
  <sheetData>
    <row r="1" spans="2:36" ht="26">
      <c r="B1" s="2" t="s">
        <v>86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6" t="s">
        <v>34</v>
      </c>
      <c r="Q1" s="2" t="str">
        <f>B1</f>
        <v>Carvana Co.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6" t="s">
        <v>35</v>
      </c>
    </row>
    <row r="2" spans="2:36" ht="21">
      <c r="B2" s="3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7" t="s">
        <v>44</v>
      </c>
      <c r="Q2" s="3" t="s">
        <v>0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7" t="s">
        <v>44</v>
      </c>
    </row>
    <row r="3" spans="2:36">
      <c r="B3" s="4" t="s">
        <v>83</v>
      </c>
      <c r="C3" s="1"/>
      <c r="D3" s="1"/>
      <c r="E3" s="1"/>
      <c r="F3" s="1"/>
      <c r="G3" s="1"/>
      <c r="H3" s="1"/>
      <c r="I3" s="1"/>
      <c r="J3" s="1"/>
      <c r="K3" s="1"/>
      <c r="L3" s="1"/>
      <c r="M3" s="4"/>
      <c r="N3" s="5"/>
      <c r="O3" s="5" t="s">
        <v>1</v>
      </c>
      <c r="Q3" s="4" t="s">
        <v>83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5" t="s">
        <v>1</v>
      </c>
    </row>
    <row r="4" spans="2:36" ht="16" thickBot="1">
      <c r="B4" s="18"/>
    </row>
    <row r="5" spans="2:36" ht="16" thickBot="1">
      <c r="B5" s="479" t="s">
        <v>44</v>
      </c>
      <c r="C5" s="479"/>
      <c r="D5" s="157" t="s">
        <v>2</v>
      </c>
      <c r="E5" s="157" t="s">
        <v>3</v>
      </c>
      <c r="F5" s="157" t="s">
        <v>4</v>
      </c>
      <c r="G5" s="157" t="s">
        <v>5</v>
      </c>
      <c r="H5" s="157" t="s">
        <v>6</v>
      </c>
      <c r="I5" s="157" t="s">
        <v>7</v>
      </c>
      <c r="J5" s="157" t="s">
        <v>8</v>
      </c>
      <c r="K5" s="157" t="s">
        <v>9</v>
      </c>
      <c r="L5" s="157" t="s">
        <v>10</v>
      </c>
      <c r="M5" s="157" t="s">
        <v>11</v>
      </c>
      <c r="N5" s="157" t="s">
        <v>12</v>
      </c>
      <c r="O5" s="158" t="s">
        <v>13</v>
      </c>
      <c r="Q5" s="479" t="s">
        <v>44</v>
      </c>
      <c r="R5" s="479"/>
      <c r="S5" s="157" t="s">
        <v>36</v>
      </c>
      <c r="T5" s="157" t="s">
        <v>37</v>
      </c>
      <c r="U5" s="157" t="s">
        <v>38</v>
      </c>
      <c r="V5" s="337">
        <v>2019</v>
      </c>
      <c r="W5" s="337">
        <v>2020</v>
      </c>
      <c r="X5" s="337">
        <v>2021</v>
      </c>
      <c r="Y5" s="337">
        <v>2022</v>
      </c>
      <c r="Z5" s="337">
        <v>2023</v>
      </c>
      <c r="AA5" s="337">
        <v>2024</v>
      </c>
      <c r="AB5" s="337">
        <v>2025</v>
      </c>
      <c r="AC5" s="337">
        <v>2026</v>
      </c>
      <c r="AD5" s="337">
        <v>2027</v>
      </c>
      <c r="AE5" s="337">
        <v>2028</v>
      </c>
    </row>
    <row r="6" spans="2:36" s="19" customFormat="1">
      <c r="B6" s="19" t="s">
        <v>14</v>
      </c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60"/>
      <c r="O6" s="161"/>
      <c r="Q6" s="19" t="s">
        <v>14</v>
      </c>
      <c r="U6" s="162"/>
      <c r="V6" s="163"/>
    </row>
    <row r="7" spans="2:36">
      <c r="B7" s="164" t="s">
        <v>15</v>
      </c>
      <c r="D7" s="165">
        <v>148382</v>
      </c>
      <c r="E7" s="165">
        <v>193947</v>
      </c>
      <c r="F7" s="165">
        <v>208113</v>
      </c>
      <c r="G7" s="165">
        <f>796915-F7-E7-D7</f>
        <v>246473</v>
      </c>
      <c r="H7" s="165">
        <v>334056</v>
      </c>
      <c r="I7" s="165">
        <v>437922</v>
      </c>
      <c r="J7" s="165">
        <v>486269</v>
      </c>
      <c r="K7" s="165">
        <f>1785045-J7-I7-H7</f>
        <v>526798</v>
      </c>
      <c r="L7" s="165">
        <v>683829</v>
      </c>
      <c r="M7" s="165">
        <v>855785</v>
      </c>
      <c r="N7" s="166">
        <v>931016</v>
      </c>
      <c r="O7" s="167">
        <f>$V7-N7-M7-L7</f>
        <v>996804.08439999959</v>
      </c>
      <c r="Q7" s="164" t="s">
        <v>15</v>
      </c>
      <c r="S7" s="165">
        <v>341989</v>
      </c>
      <c r="T7" s="165">
        <f t="shared" ref="T7:T23" si="0">SUM(D7:G7)</f>
        <v>796915</v>
      </c>
      <c r="U7" s="165">
        <f t="shared" ref="U7:U23" si="1">SUM(H7:K7)</f>
        <v>1785045</v>
      </c>
      <c r="V7" s="167">
        <f t="shared" ref="V7:W9" si="2">V$10*V38</f>
        <v>3467434.0843999996</v>
      </c>
      <c r="W7" s="165">
        <f t="shared" si="2"/>
        <v>5322511.3195540002</v>
      </c>
      <c r="X7" s="165">
        <f t="shared" ref="X7:AE7" si="3">X$10*X38</f>
        <v>7043255.0359325381</v>
      </c>
      <c r="Y7" s="165">
        <f t="shared" si="3"/>
        <v>9170318.056784166</v>
      </c>
      <c r="Z7" s="165">
        <f t="shared" si="3"/>
        <v>11664644.568229459</v>
      </c>
      <c r="AA7" s="165">
        <f t="shared" si="3"/>
        <v>13569412.410665048</v>
      </c>
      <c r="AB7" s="165">
        <f t="shared" si="3"/>
        <v>16131317.47379861</v>
      </c>
      <c r="AC7" s="165">
        <f t="shared" si="3"/>
        <v>18583277.729815997</v>
      </c>
      <c r="AD7" s="165">
        <f t="shared" si="3"/>
        <v>19235434.632646728</v>
      </c>
      <c r="AE7" s="165">
        <f t="shared" si="3"/>
        <v>20197206.364279065</v>
      </c>
    </row>
    <row r="8" spans="2:36">
      <c r="B8" s="164" t="s">
        <v>16</v>
      </c>
      <c r="D8" s="165">
        <v>5726</v>
      </c>
      <c r="E8" s="165">
        <v>7818</v>
      </c>
      <c r="F8" s="165">
        <v>7459</v>
      </c>
      <c r="G8" s="165">
        <f>28514-F8-E8-D8</f>
        <v>7511</v>
      </c>
      <c r="H8" s="165">
        <v>10133</v>
      </c>
      <c r="I8" s="165">
        <v>16622</v>
      </c>
      <c r="J8" s="165">
        <v>21440</v>
      </c>
      <c r="K8" s="165">
        <f>73584-J8-I8-H8</f>
        <v>25389</v>
      </c>
      <c r="L8" s="165">
        <v>33030</v>
      </c>
      <c r="M8" s="165">
        <v>63014</v>
      </c>
      <c r="N8" s="166">
        <v>92430</v>
      </c>
      <c r="O8" s="167">
        <f t="shared" ref="O8:O23" si="4">$V8-N8-M8-L8</f>
        <v>87344.620349999983</v>
      </c>
      <c r="Q8" s="164" t="s">
        <v>16</v>
      </c>
      <c r="S8" s="165">
        <v>10163</v>
      </c>
      <c r="T8" s="165">
        <f t="shared" si="0"/>
        <v>28514</v>
      </c>
      <c r="U8" s="165">
        <f t="shared" si="1"/>
        <v>73584</v>
      </c>
      <c r="V8" s="167">
        <f t="shared" si="2"/>
        <v>275818.62034999998</v>
      </c>
      <c r="W8" s="165">
        <f t="shared" si="2"/>
        <v>423381.58223725006</v>
      </c>
      <c r="X8" s="165">
        <f t="shared" ref="X8:AE8" si="5">X$10*X39</f>
        <v>745756.41556932754</v>
      </c>
      <c r="Y8" s="165">
        <f t="shared" si="5"/>
        <v>970974.85307126457</v>
      </c>
      <c r="Z8" s="165">
        <f t="shared" si="5"/>
        <v>1235080.0131066486</v>
      </c>
      <c r="AA8" s="165">
        <f t="shared" si="5"/>
        <v>1865794.2064664441</v>
      </c>
      <c r="AB8" s="165">
        <f t="shared" si="5"/>
        <v>2218056.1526473085</v>
      </c>
      <c r="AC8" s="165">
        <f t="shared" si="5"/>
        <v>2555200.6878496995</v>
      </c>
      <c r="AD8" s="165">
        <f t="shared" si="5"/>
        <v>3590614.4647607226</v>
      </c>
      <c r="AE8" s="165">
        <f t="shared" si="5"/>
        <v>3770145.1879987591</v>
      </c>
      <c r="AG8" s="313"/>
      <c r="AH8" s="313"/>
      <c r="AI8" s="313"/>
      <c r="AJ8" s="313"/>
    </row>
    <row r="9" spans="2:36" ht="18">
      <c r="B9" s="164" t="s">
        <v>17</v>
      </c>
      <c r="D9" s="168">
        <v>4965</v>
      </c>
      <c r="E9" s="168">
        <v>7600</v>
      </c>
      <c r="F9" s="168">
        <v>9807</v>
      </c>
      <c r="G9" s="168">
        <f>33441-F9-E9-D9</f>
        <v>11069</v>
      </c>
      <c r="H9" s="168">
        <v>16233</v>
      </c>
      <c r="I9" s="168">
        <v>20742</v>
      </c>
      <c r="J9" s="168">
        <v>27212</v>
      </c>
      <c r="K9" s="168">
        <f>96838-J9-I9-H9</f>
        <v>32651</v>
      </c>
      <c r="L9" s="168">
        <v>38375</v>
      </c>
      <c r="M9" s="168">
        <v>67422</v>
      </c>
      <c r="N9" s="169">
        <v>71408</v>
      </c>
      <c r="O9" s="170">
        <f t="shared" si="4"/>
        <v>19808.300249999971</v>
      </c>
      <c r="Q9" s="164" t="s">
        <v>17</v>
      </c>
      <c r="S9" s="168">
        <v>12996</v>
      </c>
      <c r="T9" s="168">
        <f t="shared" si="0"/>
        <v>33441</v>
      </c>
      <c r="U9" s="168">
        <f t="shared" si="1"/>
        <v>96838</v>
      </c>
      <c r="V9" s="170">
        <f t="shared" si="2"/>
        <v>197013.30024999997</v>
      </c>
      <c r="W9" s="168">
        <f t="shared" si="2"/>
        <v>302415.41588375001</v>
      </c>
      <c r="X9" s="168">
        <f t="shared" ref="X9:AE9" si="6">X$10*X40</f>
        <v>497170.94371288503</v>
      </c>
      <c r="Y9" s="168">
        <f t="shared" si="6"/>
        <v>647316.5687141763</v>
      </c>
      <c r="Z9" s="168">
        <f t="shared" si="6"/>
        <v>823386.67540443235</v>
      </c>
      <c r="AA9" s="168">
        <f t="shared" si="6"/>
        <v>1526558.8961998178</v>
      </c>
      <c r="AB9" s="168">
        <f t="shared" si="6"/>
        <v>1814773.2158023433</v>
      </c>
      <c r="AC9" s="168">
        <f t="shared" si="6"/>
        <v>2090618.7446042995</v>
      </c>
      <c r="AD9" s="168">
        <f t="shared" si="6"/>
        <v>2821197.0794548532</v>
      </c>
      <c r="AE9" s="168">
        <f t="shared" si="6"/>
        <v>2962256.9334275965</v>
      </c>
    </row>
    <row r="10" spans="2:36" s="19" customFormat="1">
      <c r="B10" s="19" t="s">
        <v>18</v>
      </c>
      <c r="D10" s="159">
        <f t="shared" ref="D10:N10" si="7">SUM(D7:D9)</f>
        <v>159073</v>
      </c>
      <c r="E10" s="159">
        <f t="shared" si="7"/>
        <v>209365</v>
      </c>
      <c r="F10" s="159">
        <f t="shared" si="7"/>
        <v>225379</v>
      </c>
      <c r="G10" s="159">
        <f t="shared" si="7"/>
        <v>265053</v>
      </c>
      <c r="H10" s="159">
        <f t="shared" si="7"/>
        <v>360422</v>
      </c>
      <c r="I10" s="159">
        <f t="shared" si="7"/>
        <v>475286</v>
      </c>
      <c r="J10" s="159">
        <f t="shared" si="7"/>
        <v>534921</v>
      </c>
      <c r="K10" s="159">
        <f t="shared" si="7"/>
        <v>584838</v>
      </c>
      <c r="L10" s="159">
        <f t="shared" si="7"/>
        <v>755234</v>
      </c>
      <c r="M10" s="159">
        <f t="shared" si="7"/>
        <v>986221</v>
      </c>
      <c r="N10" s="159">
        <f t="shared" si="7"/>
        <v>1094854</v>
      </c>
      <c r="O10" s="161">
        <f t="shared" si="4"/>
        <v>1103957.0049999994</v>
      </c>
      <c r="Q10" s="19" t="s">
        <v>18</v>
      </c>
      <c r="S10" s="159">
        <f>SUM(S7:S9)</f>
        <v>365148</v>
      </c>
      <c r="T10" s="159">
        <f t="shared" si="0"/>
        <v>858870</v>
      </c>
      <c r="U10" s="159">
        <f t="shared" si="1"/>
        <v>1955467</v>
      </c>
      <c r="V10" s="161">
        <f>U10*(1+V29)</f>
        <v>3940266.0049999994</v>
      </c>
      <c r="W10" s="159">
        <f>V10*(1+W29)</f>
        <v>6048308.3176750001</v>
      </c>
      <c r="X10" s="159">
        <f t="shared" ref="X10:AE10" si="8">W10*(1+X29)</f>
        <v>8286182.3952147504</v>
      </c>
      <c r="Y10" s="159">
        <f t="shared" si="8"/>
        <v>10788609.478569606</v>
      </c>
      <c r="Z10" s="159">
        <f t="shared" si="8"/>
        <v>13723111.25674054</v>
      </c>
      <c r="AA10" s="159">
        <f t="shared" si="8"/>
        <v>16961765.513331309</v>
      </c>
      <c r="AB10" s="159">
        <f t="shared" si="8"/>
        <v>20164146.842248261</v>
      </c>
      <c r="AC10" s="159">
        <f t="shared" si="8"/>
        <v>23229097.162269995</v>
      </c>
      <c r="AD10" s="159">
        <f t="shared" si="8"/>
        <v>25647246.176862303</v>
      </c>
      <c r="AE10" s="159">
        <f t="shared" si="8"/>
        <v>26929608.48570542</v>
      </c>
    </row>
    <row r="11" spans="2:36" ht="18">
      <c r="B11" s="171" t="s">
        <v>19</v>
      </c>
      <c r="D11" s="168">
        <v>149327</v>
      </c>
      <c r="E11" s="168">
        <v>193326</v>
      </c>
      <c r="F11" s="168">
        <v>204963</v>
      </c>
      <c r="G11" s="168">
        <f>790779-F11-E11-D11</f>
        <v>243163</v>
      </c>
      <c r="H11" s="168">
        <v>326188</v>
      </c>
      <c r="I11" s="168">
        <v>426251</v>
      </c>
      <c r="J11" s="168">
        <v>477615</v>
      </c>
      <c r="K11" s="168">
        <f>1758758-J11-I11-H11</f>
        <v>528704</v>
      </c>
      <c r="L11" s="168">
        <v>666702</v>
      </c>
      <c r="M11" s="168">
        <v>848428</v>
      </c>
      <c r="N11" s="169">
        <v>957311</v>
      </c>
      <c r="O11" s="170">
        <f t="shared" si="4"/>
        <v>964534.82818134967</v>
      </c>
      <c r="Q11" s="171" t="s">
        <v>19</v>
      </c>
      <c r="S11" s="168">
        <v>345951</v>
      </c>
      <c r="T11" s="168">
        <f t="shared" si="0"/>
        <v>790779</v>
      </c>
      <c r="U11" s="168">
        <f t="shared" si="1"/>
        <v>1758758</v>
      </c>
      <c r="V11" s="170">
        <f>V10*V30</f>
        <v>3436975.8281813497</v>
      </c>
      <c r="W11" s="168">
        <f>W10*W30</f>
        <v>5199246.7960397834</v>
      </c>
      <c r="X11" s="168">
        <f t="shared" ref="X11:AE11" si="9">X10*X30</f>
        <v>7059081.6443073973</v>
      </c>
      <c r="Y11" s="168">
        <f t="shared" si="9"/>
        <v>9094797.2712767981</v>
      </c>
      <c r="Z11" s="168">
        <f t="shared" si="9"/>
        <v>11472521.010635091</v>
      </c>
      <c r="AA11" s="168">
        <f t="shared" si="9"/>
        <v>14069784.493308321</v>
      </c>
      <c r="AB11" s="168">
        <f t="shared" si="9"/>
        <v>16726159.805644933</v>
      </c>
      <c r="AC11" s="168">
        <f t="shared" si="9"/>
        <v>19268536.09610296</v>
      </c>
      <c r="AD11" s="168">
        <f t="shared" si="9"/>
        <v>21274390.703707282</v>
      </c>
      <c r="AE11" s="168">
        <f t="shared" si="9"/>
        <v>22338110.238892648</v>
      </c>
    </row>
    <row r="12" spans="2:36" s="19" customFormat="1">
      <c r="B12" s="19" t="s">
        <v>20</v>
      </c>
      <c r="D12" s="159">
        <f t="shared" ref="D12:N12" si="10">D10-D11</f>
        <v>9746</v>
      </c>
      <c r="E12" s="159">
        <f t="shared" si="10"/>
        <v>16039</v>
      </c>
      <c r="F12" s="159">
        <f t="shared" si="10"/>
        <v>20416</v>
      </c>
      <c r="G12" s="159">
        <f t="shared" si="10"/>
        <v>21890</v>
      </c>
      <c r="H12" s="159">
        <f t="shared" si="10"/>
        <v>34234</v>
      </c>
      <c r="I12" s="159">
        <f t="shared" si="10"/>
        <v>49035</v>
      </c>
      <c r="J12" s="159">
        <f t="shared" si="10"/>
        <v>57306</v>
      </c>
      <c r="K12" s="159">
        <f t="shared" si="10"/>
        <v>56134</v>
      </c>
      <c r="L12" s="159">
        <f t="shared" si="10"/>
        <v>88532</v>
      </c>
      <c r="M12" s="159">
        <f t="shared" si="10"/>
        <v>137793</v>
      </c>
      <c r="N12" s="159">
        <f t="shared" si="10"/>
        <v>137543</v>
      </c>
      <c r="O12" s="161">
        <f t="shared" si="4"/>
        <v>139422.17681864975</v>
      </c>
      <c r="Q12" s="19" t="s">
        <v>20</v>
      </c>
      <c r="S12" s="159">
        <f>S10-S11</f>
        <v>19197</v>
      </c>
      <c r="T12" s="159">
        <f t="shared" si="0"/>
        <v>68091</v>
      </c>
      <c r="U12" s="159">
        <f t="shared" si="1"/>
        <v>196709</v>
      </c>
      <c r="V12" s="161">
        <f>V10-V11</f>
        <v>503290.17681864975</v>
      </c>
      <c r="W12" s="159">
        <f>W10-W11</f>
        <v>849061.52163521666</v>
      </c>
      <c r="X12" s="159">
        <f t="shared" ref="X12:AE12" si="11">X10-X11</f>
        <v>1227100.7509073531</v>
      </c>
      <c r="Y12" s="159">
        <f t="shared" si="11"/>
        <v>1693812.2072928082</v>
      </c>
      <c r="Z12" s="159">
        <f t="shared" si="11"/>
        <v>2250590.2461054493</v>
      </c>
      <c r="AA12" s="159">
        <f t="shared" si="11"/>
        <v>2891981.0200229883</v>
      </c>
      <c r="AB12" s="159">
        <f t="shared" si="11"/>
        <v>3437987.0366033278</v>
      </c>
      <c r="AC12" s="159">
        <f t="shared" si="11"/>
        <v>3960561.0661670342</v>
      </c>
      <c r="AD12" s="159">
        <f t="shared" si="11"/>
        <v>4372855.4731550217</v>
      </c>
      <c r="AE12" s="159">
        <f t="shared" si="11"/>
        <v>4591498.246812772</v>
      </c>
    </row>
    <row r="13" spans="2:36">
      <c r="B13" s="164" t="s">
        <v>21</v>
      </c>
      <c r="D13" s="165">
        <v>45908</v>
      </c>
      <c r="E13" s="165">
        <v>52011</v>
      </c>
      <c r="F13" s="165">
        <v>58676</v>
      </c>
      <c r="G13" s="165">
        <f>223400-F13-E13-D13</f>
        <v>66805</v>
      </c>
      <c r="H13" s="165">
        <v>83186</v>
      </c>
      <c r="I13" s="165">
        <v>95652</v>
      </c>
      <c r="J13" s="165">
        <v>115768</v>
      </c>
      <c r="K13" s="165">
        <f>425258-J13-I13-H13</f>
        <v>130652</v>
      </c>
      <c r="L13" s="165">
        <v>155241</v>
      </c>
      <c r="M13" s="165">
        <v>181843</v>
      </c>
      <c r="N13" s="166">
        <v>207970</v>
      </c>
      <c r="O13" s="167">
        <f t="shared" si="4"/>
        <v>294702.97259999998</v>
      </c>
      <c r="Q13" s="164" t="s">
        <v>21</v>
      </c>
      <c r="S13" s="165">
        <v>108676</v>
      </c>
      <c r="T13" s="165">
        <f t="shared" si="0"/>
        <v>223400</v>
      </c>
      <c r="U13" s="165">
        <f t="shared" si="1"/>
        <v>425258</v>
      </c>
      <c r="V13" s="167">
        <f t="shared" ref="V13:W15" si="12">V32*V$10</f>
        <v>839756.97259999998</v>
      </c>
      <c r="W13" s="165">
        <f t="shared" si="12"/>
        <v>1160124.2576469001</v>
      </c>
      <c r="X13" s="165">
        <f t="shared" ref="X13:AE13" si="13">X32*X$10</f>
        <v>1430433.209678628</v>
      </c>
      <c r="Y13" s="165">
        <f t="shared" si="13"/>
        <v>1676181.6351014166</v>
      </c>
      <c r="Z13" s="165">
        <f t="shared" si="13"/>
        <v>1918892.7358641019</v>
      </c>
      <c r="AA13" s="165">
        <f t="shared" si="13"/>
        <v>2134576.2793752272</v>
      </c>
      <c r="AB13" s="165">
        <f t="shared" si="13"/>
        <v>2283825.8528291429</v>
      </c>
      <c r="AC13" s="165">
        <f t="shared" si="13"/>
        <v>2367870.6442132555</v>
      </c>
      <c r="AD13" s="165">
        <f t="shared" si="13"/>
        <v>2352929.3804482701</v>
      </c>
      <c r="AE13" s="165">
        <f t="shared" si="13"/>
        <v>2223518.2645236151</v>
      </c>
    </row>
    <row r="14" spans="2:36">
      <c r="B14" s="164" t="s">
        <v>22</v>
      </c>
      <c r="D14" s="165">
        <v>2059</v>
      </c>
      <c r="E14" s="165">
        <v>2507</v>
      </c>
      <c r="F14" s="165">
        <v>838</v>
      </c>
      <c r="G14" s="165">
        <f>7659-F14-E14-D14</f>
        <v>2255</v>
      </c>
      <c r="H14" s="165">
        <v>3541</v>
      </c>
      <c r="I14" s="165">
        <v>4165</v>
      </c>
      <c r="J14" s="165">
        <v>5649</v>
      </c>
      <c r="K14" s="165">
        <f>25018-J14-I14-H14</f>
        <v>11663</v>
      </c>
      <c r="L14" s="165">
        <v>15648</v>
      </c>
      <c r="M14" s="165">
        <v>19315</v>
      </c>
      <c r="N14" s="166">
        <v>20990</v>
      </c>
      <c r="O14" s="167">
        <f t="shared" si="4"/>
        <v>-4281.4482500000158</v>
      </c>
      <c r="Q14" s="164" t="s">
        <v>22</v>
      </c>
      <c r="S14" s="165">
        <v>3587</v>
      </c>
      <c r="T14" s="165">
        <f t="shared" si="0"/>
        <v>7659</v>
      </c>
      <c r="U14" s="165">
        <f t="shared" si="1"/>
        <v>25018</v>
      </c>
      <c r="V14" s="167">
        <f t="shared" si="12"/>
        <v>51671.551749999984</v>
      </c>
      <c r="W14" s="165">
        <f t="shared" si="12"/>
        <v>81298.727734656233</v>
      </c>
      <c r="X14" s="165">
        <f t="shared" ref="X14:AE14" si="14">X33*X$10</f>
        <v>114163.73842139101</v>
      </c>
      <c r="Y14" s="165">
        <f t="shared" si="14"/>
        <v>152357.21711026737</v>
      </c>
      <c r="Z14" s="165">
        <f t="shared" si="14"/>
        <v>198643.33966836662</v>
      </c>
      <c r="AA14" s="165">
        <f t="shared" si="14"/>
        <v>251661.24702585366</v>
      </c>
      <c r="AB14" s="165">
        <f t="shared" si="14"/>
        <v>306654.26272594318</v>
      </c>
      <c r="AC14" s="165">
        <f t="shared" si="14"/>
        <v>362097.35342679365</v>
      </c>
      <c r="AD14" s="165">
        <f t="shared" si="14"/>
        <v>409786.48011648597</v>
      </c>
      <c r="AE14" s="165">
        <f t="shared" si="14"/>
        <v>441032.69922536804</v>
      </c>
    </row>
    <row r="15" spans="2:36" ht="18">
      <c r="B15" s="164" t="s">
        <v>23</v>
      </c>
      <c r="D15" s="168">
        <v>218</v>
      </c>
      <c r="E15" s="168">
        <v>391</v>
      </c>
      <c r="F15" s="168">
        <v>671</v>
      </c>
      <c r="G15" s="168">
        <f>1348-F15-E15-D15</f>
        <v>68</v>
      </c>
      <c r="H15" s="168">
        <v>179</v>
      </c>
      <c r="I15" s="168">
        <v>468</v>
      </c>
      <c r="J15" s="168">
        <v>308</v>
      </c>
      <c r="K15" s="168">
        <f>1178-J15-I15-H15</f>
        <v>223</v>
      </c>
      <c r="L15" s="168">
        <v>239</v>
      </c>
      <c r="M15" s="168">
        <v>694</v>
      </c>
      <c r="N15" s="169">
        <v>827</v>
      </c>
      <c r="O15" s="170">
        <f t="shared" si="4"/>
        <v>1589.2261042499995</v>
      </c>
      <c r="Q15" s="164" t="s">
        <v>23</v>
      </c>
      <c r="S15" s="168">
        <v>46</v>
      </c>
      <c r="T15" s="168">
        <f t="shared" si="0"/>
        <v>1348</v>
      </c>
      <c r="U15" s="168">
        <f t="shared" si="1"/>
        <v>1178</v>
      </c>
      <c r="V15" s="170">
        <f t="shared" si="12"/>
        <v>3349.2261042499995</v>
      </c>
      <c r="W15" s="168">
        <f t="shared" si="12"/>
        <v>5141.0620700237496</v>
      </c>
      <c r="X15" s="168">
        <f t="shared" ref="X15:AE15" si="15">X34*X$10</f>
        <v>7013.1778277170333</v>
      </c>
      <c r="Y15" s="168">
        <f t="shared" si="15"/>
        <v>9131.1575316875787</v>
      </c>
      <c r="Z15" s="168">
        <f t="shared" si="15"/>
        <v>11614.832380306601</v>
      </c>
      <c r="AA15" s="168">
        <f t="shared" si="15"/>
        <v>14355.93282205896</v>
      </c>
      <c r="AB15" s="168">
        <f t="shared" si="15"/>
        <v>17066.332938863692</v>
      </c>
      <c r="AC15" s="168">
        <f t="shared" si="15"/>
        <v>19660.41554557097</v>
      </c>
      <c r="AD15" s="168">
        <f t="shared" si="15"/>
        <v>21707.064803864912</v>
      </c>
      <c r="AE15" s="168">
        <f t="shared" si="15"/>
        <v>22792.418044058159</v>
      </c>
    </row>
    <row r="16" spans="2:36" s="19" customFormat="1">
      <c r="B16" s="19" t="s">
        <v>24</v>
      </c>
      <c r="D16" s="159">
        <f t="shared" ref="D16:N16" si="16">D12-D13-D14-D15</f>
        <v>-38439</v>
      </c>
      <c r="E16" s="159">
        <f t="shared" si="16"/>
        <v>-38870</v>
      </c>
      <c r="F16" s="159">
        <f t="shared" si="16"/>
        <v>-39769</v>
      </c>
      <c r="G16" s="159">
        <f t="shared" si="16"/>
        <v>-47238</v>
      </c>
      <c r="H16" s="159">
        <f t="shared" si="16"/>
        <v>-52672</v>
      </c>
      <c r="I16" s="159">
        <f t="shared" si="16"/>
        <v>-51250</v>
      </c>
      <c r="J16" s="159">
        <f t="shared" si="16"/>
        <v>-64419</v>
      </c>
      <c r="K16" s="159">
        <f t="shared" si="16"/>
        <v>-86404</v>
      </c>
      <c r="L16" s="159">
        <f t="shared" si="16"/>
        <v>-82596</v>
      </c>
      <c r="M16" s="159">
        <f t="shared" si="16"/>
        <v>-64059</v>
      </c>
      <c r="N16" s="159">
        <f t="shared" si="16"/>
        <v>-92244</v>
      </c>
      <c r="O16" s="161">
        <f t="shared" si="4"/>
        <v>-152588.57363560016</v>
      </c>
      <c r="Q16" s="19" t="s">
        <v>24</v>
      </c>
      <c r="S16" s="159">
        <f>S12-S13-S14-S15</f>
        <v>-93112</v>
      </c>
      <c r="T16" s="159">
        <f t="shared" si="0"/>
        <v>-164316</v>
      </c>
      <c r="U16" s="159">
        <f t="shared" si="1"/>
        <v>-254745</v>
      </c>
      <c r="V16" s="261">
        <f>V12-SUM(V13:V15)</f>
        <v>-391487.57363560016</v>
      </c>
      <c r="W16" s="159">
        <f>W12-SUM(W13:W15)</f>
        <v>-397502.52581636352</v>
      </c>
      <c r="X16" s="159">
        <f t="shared" ref="X16:AE16" si="17">X12-SUM(X13:X15)</f>
        <v>-324509.37502038293</v>
      </c>
      <c r="Y16" s="159">
        <f t="shared" si="17"/>
        <v>-143857.80245056329</v>
      </c>
      <c r="Z16" s="159">
        <f t="shared" si="17"/>
        <v>121439.33819267433</v>
      </c>
      <c r="AA16" s="159">
        <f t="shared" si="17"/>
        <v>491387.56079984875</v>
      </c>
      <c r="AB16" s="159">
        <f t="shared" si="17"/>
        <v>830440.58810937777</v>
      </c>
      <c r="AC16" s="159">
        <f t="shared" si="17"/>
        <v>1210932.652981414</v>
      </c>
      <c r="AD16" s="159">
        <f t="shared" si="17"/>
        <v>1588432.5477864007</v>
      </c>
      <c r="AE16" s="159">
        <f t="shared" si="17"/>
        <v>1904154.8650197308</v>
      </c>
    </row>
    <row r="17" spans="2:31" ht="18">
      <c r="B17" s="164" t="s">
        <v>25</v>
      </c>
      <c r="D17" s="168">
        <v>0</v>
      </c>
      <c r="E17" s="168">
        <v>0</v>
      </c>
      <c r="F17" s="168">
        <v>0</v>
      </c>
      <c r="G17" s="168">
        <v>0</v>
      </c>
      <c r="H17" s="168">
        <v>0</v>
      </c>
      <c r="I17" s="168">
        <v>0</v>
      </c>
      <c r="J17" s="168">
        <v>0</v>
      </c>
      <c r="K17" s="168">
        <v>0</v>
      </c>
      <c r="L17" s="168">
        <v>0</v>
      </c>
      <c r="M17" s="168">
        <v>0</v>
      </c>
      <c r="N17" s="169">
        <v>0</v>
      </c>
      <c r="O17" s="170">
        <f t="shared" si="4"/>
        <v>0</v>
      </c>
      <c r="Q17" s="164" t="s">
        <v>25</v>
      </c>
      <c r="S17" s="168">
        <v>0</v>
      </c>
      <c r="T17" s="168">
        <f t="shared" si="0"/>
        <v>0</v>
      </c>
      <c r="U17" s="168">
        <f t="shared" si="1"/>
        <v>0</v>
      </c>
      <c r="V17" s="170">
        <v>0</v>
      </c>
      <c r="W17" s="168">
        <v>0</v>
      </c>
      <c r="X17" s="168">
        <v>0</v>
      </c>
      <c r="Y17" s="168">
        <v>0</v>
      </c>
      <c r="Z17" s="168">
        <v>0</v>
      </c>
      <c r="AA17" s="168">
        <v>0</v>
      </c>
      <c r="AB17" s="168">
        <v>0</v>
      </c>
      <c r="AC17" s="168">
        <v>0</v>
      </c>
      <c r="AD17" s="168">
        <v>0</v>
      </c>
      <c r="AE17" s="168">
        <v>0</v>
      </c>
    </row>
    <row r="18" spans="2:31" s="19" customFormat="1">
      <c r="B18" s="19" t="s">
        <v>26</v>
      </c>
      <c r="C18" s="18"/>
      <c r="D18" s="159">
        <f t="shared" ref="D18:N18" si="18">D16-D17</f>
        <v>-38439</v>
      </c>
      <c r="E18" s="159">
        <f t="shared" si="18"/>
        <v>-38870</v>
      </c>
      <c r="F18" s="159">
        <f t="shared" si="18"/>
        <v>-39769</v>
      </c>
      <c r="G18" s="159">
        <f t="shared" si="18"/>
        <v>-47238</v>
      </c>
      <c r="H18" s="159">
        <f t="shared" si="18"/>
        <v>-52672</v>
      </c>
      <c r="I18" s="159">
        <f t="shared" si="18"/>
        <v>-51250</v>
      </c>
      <c r="J18" s="159">
        <f t="shared" si="18"/>
        <v>-64419</v>
      </c>
      <c r="K18" s="159">
        <f t="shared" si="18"/>
        <v>-86404</v>
      </c>
      <c r="L18" s="159">
        <f t="shared" si="18"/>
        <v>-82596</v>
      </c>
      <c r="M18" s="159">
        <f t="shared" si="18"/>
        <v>-64059</v>
      </c>
      <c r="N18" s="159">
        <f t="shared" si="18"/>
        <v>-92244</v>
      </c>
      <c r="O18" s="161">
        <f t="shared" si="4"/>
        <v>-152588.57363560016</v>
      </c>
      <c r="Q18" s="19" t="s">
        <v>26</v>
      </c>
      <c r="S18" s="159">
        <f>S16-S17</f>
        <v>-93112</v>
      </c>
      <c r="T18" s="159">
        <f t="shared" si="0"/>
        <v>-164316</v>
      </c>
      <c r="U18" s="159">
        <f t="shared" si="1"/>
        <v>-254745</v>
      </c>
      <c r="V18" s="161">
        <f>V16-V17</f>
        <v>-391487.57363560016</v>
      </c>
      <c r="W18" s="159">
        <f>W16-W17</f>
        <v>-397502.52581636352</v>
      </c>
      <c r="X18" s="159">
        <f t="shared" ref="X18:AE18" si="19">X16-X17</f>
        <v>-324509.37502038293</v>
      </c>
      <c r="Y18" s="159">
        <f t="shared" si="19"/>
        <v>-143857.80245056329</v>
      </c>
      <c r="Z18" s="159">
        <f t="shared" si="19"/>
        <v>121439.33819267433</v>
      </c>
      <c r="AA18" s="159">
        <f t="shared" si="19"/>
        <v>491387.56079984875</v>
      </c>
      <c r="AB18" s="159">
        <f t="shared" si="19"/>
        <v>830440.58810937777</v>
      </c>
      <c r="AC18" s="159">
        <f t="shared" si="19"/>
        <v>1210932.652981414</v>
      </c>
      <c r="AD18" s="159">
        <f t="shared" si="19"/>
        <v>1588432.5477864007</v>
      </c>
      <c r="AE18" s="159">
        <f t="shared" si="19"/>
        <v>1904154.8650197308</v>
      </c>
    </row>
    <row r="19" spans="2:31" ht="18">
      <c r="B19" s="164" t="s">
        <v>27</v>
      </c>
      <c r="D19" s="168">
        <v>0</v>
      </c>
      <c r="E19" s="168">
        <v>-24328</v>
      </c>
      <c r="F19" s="168">
        <v>-35389</v>
      </c>
      <c r="G19" s="168">
        <f>-101475-F19-E19-D19</f>
        <v>-41758</v>
      </c>
      <c r="H19" s="168">
        <v>-45629</v>
      </c>
      <c r="I19" s="168">
        <v>-41285</v>
      </c>
      <c r="J19" s="168">
        <v>-48377</v>
      </c>
      <c r="K19" s="168">
        <f>-192991-J19-I19-H19</f>
        <v>-57700</v>
      </c>
      <c r="L19" s="168">
        <v>-54047</v>
      </c>
      <c r="M19" s="168">
        <v>-37449</v>
      </c>
      <c r="N19" s="169">
        <v>-53227</v>
      </c>
      <c r="O19" s="170">
        <f t="shared" si="4"/>
        <v>-81174.717812563322</v>
      </c>
      <c r="Q19" s="164" t="s">
        <v>27</v>
      </c>
      <c r="S19" s="168">
        <v>0</v>
      </c>
      <c r="T19" s="168">
        <f t="shared" si="0"/>
        <v>-101475</v>
      </c>
      <c r="U19" s="168">
        <f t="shared" si="1"/>
        <v>-192991</v>
      </c>
      <c r="V19" s="170">
        <f>V36*V18</f>
        <v>-225897.71781256332</v>
      </c>
      <c r="W19" s="168">
        <f>W36*W18</f>
        <v>-217900.06498575737</v>
      </c>
      <c r="X19" s="168">
        <f t="shared" ref="X19:AE19" si="20">X36*X18</f>
        <v>-168992.84620191509</v>
      </c>
      <c r="Y19" s="168">
        <f t="shared" si="20"/>
        <v>-71170.185788312563</v>
      </c>
      <c r="Z19" s="168">
        <f t="shared" si="20"/>
        <v>57075.230597553767</v>
      </c>
      <c r="AA19" s="168">
        <f t="shared" si="20"/>
        <v>219399.70873257812</v>
      </c>
      <c r="AB19" s="168">
        <f t="shared" si="20"/>
        <v>352244.37043465389</v>
      </c>
      <c r="AC19" s="168">
        <f t="shared" si="20"/>
        <v>487954.23211590643</v>
      </c>
      <c r="AD19" s="168">
        <f t="shared" si="20"/>
        <v>608067.06558285875</v>
      </c>
      <c r="AE19" s="168">
        <f t="shared" si="20"/>
        <v>692482.13886158192</v>
      </c>
    </row>
    <row r="20" spans="2:31" s="19" customFormat="1">
      <c r="B20" s="19" t="s">
        <v>28</v>
      </c>
      <c r="D20" s="159">
        <f t="shared" ref="D20:N20" si="21">D18-D19</f>
        <v>-38439</v>
      </c>
      <c r="E20" s="159">
        <f t="shared" si="21"/>
        <v>-14542</v>
      </c>
      <c r="F20" s="159">
        <f t="shared" si="21"/>
        <v>-4380</v>
      </c>
      <c r="G20" s="159">
        <f t="shared" si="21"/>
        <v>-5480</v>
      </c>
      <c r="H20" s="159">
        <f t="shared" si="21"/>
        <v>-7043</v>
      </c>
      <c r="I20" s="159">
        <f t="shared" si="21"/>
        <v>-9965</v>
      </c>
      <c r="J20" s="159">
        <f t="shared" si="21"/>
        <v>-16042</v>
      </c>
      <c r="K20" s="159">
        <f t="shared" si="21"/>
        <v>-28704</v>
      </c>
      <c r="L20" s="159">
        <f t="shared" si="21"/>
        <v>-28549</v>
      </c>
      <c r="M20" s="159">
        <f t="shared" si="21"/>
        <v>-26610</v>
      </c>
      <c r="N20" s="159">
        <f t="shared" si="21"/>
        <v>-39017</v>
      </c>
      <c r="O20" s="161">
        <f t="shared" si="4"/>
        <v>-71413.855823036836</v>
      </c>
      <c r="Q20" s="19" t="s">
        <v>28</v>
      </c>
      <c r="S20" s="159">
        <f>S18-S19</f>
        <v>-93112</v>
      </c>
      <c r="T20" s="159">
        <f t="shared" si="0"/>
        <v>-62841</v>
      </c>
      <c r="U20" s="159">
        <f t="shared" si="1"/>
        <v>-61754</v>
      </c>
      <c r="V20" s="161">
        <f>V18-V19</f>
        <v>-165589.85582303684</v>
      </c>
      <c r="W20" s="159">
        <f>W18-W19</f>
        <v>-179602.46083060614</v>
      </c>
      <c r="X20" s="159">
        <f t="shared" ref="X20:AE20" si="22">X18-X19</f>
        <v>-155516.52881846784</v>
      </c>
      <c r="Y20" s="159">
        <f t="shared" si="22"/>
        <v>-72687.61666225073</v>
      </c>
      <c r="Z20" s="159">
        <f t="shared" si="22"/>
        <v>64364.107595120564</v>
      </c>
      <c r="AA20" s="159">
        <f t="shared" si="22"/>
        <v>271987.85206727067</v>
      </c>
      <c r="AB20" s="159">
        <f t="shared" si="22"/>
        <v>478196.21767472388</v>
      </c>
      <c r="AC20" s="159">
        <f t="shared" si="22"/>
        <v>722978.42086550756</v>
      </c>
      <c r="AD20" s="159">
        <f t="shared" si="22"/>
        <v>980365.48220354191</v>
      </c>
      <c r="AE20" s="159">
        <f t="shared" si="22"/>
        <v>1211672.7261581488</v>
      </c>
    </row>
    <row r="21" spans="2:31">
      <c r="B21" s="164" t="s">
        <v>29</v>
      </c>
      <c r="D21" s="165">
        <v>0</v>
      </c>
      <c r="E21" s="165">
        <v>0</v>
      </c>
      <c r="F21" s="165">
        <v>0</v>
      </c>
      <c r="G21" s="165">
        <f>-413-F21-E21-D21</f>
        <v>-413</v>
      </c>
      <c r="H21" s="165">
        <v>-1345</v>
      </c>
      <c r="I21" s="165">
        <v>-1375</v>
      </c>
      <c r="J21" s="165">
        <v>-1230</v>
      </c>
      <c r="K21" s="165">
        <f>-4206-J21-I21-H21</f>
        <v>-256</v>
      </c>
      <c r="L21" s="165">
        <v>0</v>
      </c>
      <c r="M21" s="165">
        <v>0</v>
      </c>
      <c r="N21" s="166">
        <v>0</v>
      </c>
      <c r="O21" s="167">
        <f t="shared" si="4"/>
        <v>0</v>
      </c>
      <c r="Q21" s="164" t="s">
        <v>29</v>
      </c>
      <c r="S21" s="165">
        <v>0</v>
      </c>
      <c r="T21" s="165">
        <f t="shared" si="0"/>
        <v>-413</v>
      </c>
      <c r="U21" s="165">
        <f t="shared" si="1"/>
        <v>-4206</v>
      </c>
      <c r="V21" s="167">
        <v>0</v>
      </c>
      <c r="W21" s="165">
        <v>0</v>
      </c>
      <c r="X21" s="165">
        <v>0</v>
      </c>
      <c r="Y21" s="165">
        <v>0</v>
      </c>
      <c r="Z21" s="165">
        <v>0</v>
      </c>
      <c r="AA21" s="165">
        <v>0</v>
      </c>
      <c r="AB21" s="165">
        <v>0</v>
      </c>
      <c r="AC21" s="165">
        <v>0</v>
      </c>
      <c r="AD21" s="165">
        <v>0</v>
      </c>
      <c r="AE21" s="165">
        <v>0</v>
      </c>
    </row>
    <row r="22" spans="2:31" ht="18">
      <c r="B22" s="164" t="s">
        <v>30</v>
      </c>
      <c r="D22" s="168">
        <v>0</v>
      </c>
      <c r="E22" s="168">
        <v>0</v>
      </c>
      <c r="F22" s="168">
        <v>0</v>
      </c>
      <c r="G22" s="168">
        <f>-1237-F22-E22-D22</f>
        <v>-1237</v>
      </c>
      <c r="H22" s="168">
        <v>-1380</v>
      </c>
      <c r="I22" s="168">
        <v>0</v>
      </c>
      <c r="J22" s="168">
        <v>0</v>
      </c>
      <c r="K22" s="168">
        <f>-1380-J22-I22-H22</f>
        <v>0</v>
      </c>
      <c r="L22" s="168">
        <v>0</v>
      </c>
      <c r="M22" s="168">
        <v>0</v>
      </c>
      <c r="N22" s="169">
        <v>0</v>
      </c>
      <c r="O22" s="170">
        <f t="shared" si="4"/>
        <v>0</v>
      </c>
      <c r="Q22" s="164" t="s">
        <v>30</v>
      </c>
      <c r="S22" s="168">
        <v>0</v>
      </c>
      <c r="T22" s="168">
        <f t="shared" si="0"/>
        <v>-1237</v>
      </c>
      <c r="U22" s="168">
        <f t="shared" si="1"/>
        <v>-1380</v>
      </c>
      <c r="V22" s="170">
        <v>0</v>
      </c>
      <c r="W22" s="168">
        <v>0</v>
      </c>
      <c r="X22" s="168">
        <v>0</v>
      </c>
      <c r="Y22" s="168">
        <v>0</v>
      </c>
      <c r="Z22" s="168">
        <v>0</v>
      </c>
      <c r="AA22" s="168">
        <v>0</v>
      </c>
      <c r="AB22" s="168">
        <v>0</v>
      </c>
      <c r="AC22" s="168">
        <v>0</v>
      </c>
      <c r="AD22" s="168">
        <v>0</v>
      </c>
      <c r="AE22" s="168">
        <v>0</v>
      </c>
    </row>
    <row r="23" spans="2:31" s="19" customFormat="1">
      <c r="B23" s="19" t="s">
        <v>31</v>
      </c>
      <c r="D23" s="159">
        <f t="shared" ref="D23:N23" si="23">D20+D21+D22</f>
        <v>-38439</v>
      </c>
      <c r="E23" s="159">
        <f t="shared" si="23"/>
        <v>-14542</v>
      </c>
      <c r="F23" s="159">
        <f t="shared" si="23"/>
        <v>-4380</v>
      </c>
      <c r="G23" s="159">
        <f t="shared" si="23"/>
        <v>-7130</v>
      </c>
      <c r="H23" s="159">
        <f t="shared" si="23"/>
        <v>-9768</v>
      </c>
      <c r="I23" s="159">
        <f t="shared" si="23"/>
        <v>-11340</v>
      </c>
      <c r="J23" s="159">
        <f t="shared" si="23"/>
        <v>-17272</v>
      </c>
      <c r="K23" s="159">
        <f t="shared" si="23"/>
        <v>-28960</v>
      </c>
      <c r="L23" s="159">
        <f t="shared" si="23"/>
        <v>-28549</v>
      </c>
      <c r="M23" s="159">
        <f t="shared" si="23"/>
        <v>-26610</v>
      </c>
      <c r="N23" s="159">
        <f t="shared" si="23"/>
        <v>-39017</v>
      </c>
      <c r="O23" s="159">
        <f t="shared" si="4"/>
        <v>-71413.855823036836</v>
      </c>
      <c r="Q23" s="19" t="s">
        <v>31</v>
      </c>
      <c r="S23" s="159">
        <f>S20+S21+S22</f>
        <v>-93112</v>
      </c>
      <c r="T23" s="159">
        <f t="shared" si="0"/>
        <v>-64491</v>
      </c>
      <c r="U23" s="159">
        <f t="shared" si="1"/>
        <v>-67340</v>
      </c>
      <c r="V23" s="161">
        <f>V20+V21+V22</f>
        <v>-165589.85582303684</v>
      </c>
      <c r="W23" s="159">
        <f>W20+W21+W22</f>
        <v>-179602.46083060614</v>
      </c>
      <c r="X23" s="159">
        <f t="shared" ref="X23:AE23" si="24">X20+X21+X22</f>
        <v>-155516.52881846784</v>
      </c>
      <c r="Y23" s="159">
        <f t="shared" si="24"/>
        <v>-72687.61666225073</v>
      </c>
      <c r="Z23" s="159">
        <f t="shared" si="24"/>
        <v>64364.107595120564</v>
      </c>
      <c r="AA23" s="159">
        <f t="shared" si="24"/>
        <v>271987.85206727067</v>
      </c>
      <c r="AB23" s="159">
        <f t="shared" si="24"/>
        <v>478196.21767472388</v>
      </c>
      <c r="AC23" s="159">
        <f t="shared" si="24"/>
        <v>722978.42086550756</v>
      </c>
      <c r="AD23" s="159">
        <f t="shared" si="24"/>
        <v>980365.48220354191</v>
      </c>
      <c r="AE23" s="159">
        <f t="shared" si="24"/>
        <v>1211672.7261581488</v>
      </c>
    </row>
    <row r="24" spans="2:31"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6"/>
      <c r="O24" s="167"/>
      <c r="Q24" s="172"/>
      <c r="S24" s="165"/>
      <c r="T24" s="165"/>
      <c r="U24" s="165"/>
      <c r="V24" s="167"/>
      <c r="W24" s="165"/>
      <c r="X24" s="165"/>
      <c r="Y24" s="165"/>
      <c r="Z24" s="165"/>
      <c r="AA24" s="165"/>
      <c r="AB24" s="165"/>
      <c r="AC24" s="165"/>
      <c r="AD24" s="165"/>
      <c r="AE24" s="165"/>
    </row>
    <row r="25" spans="2:31">
      <c r="B25" s="164" t="s">
        <v>32</v>
      </c>
      <c r="D25" s="165">
        <v>15000</v>
      </c>
      <c r="E25" s="165">
        <v>15026</v>
      </c>
      <c r="F25" s="165">
        <v>15045</v>
      </c>
      <c r="G25" s="165">
        <v>15891</v>
      </c>
      <c r="H25" s="165">
        <v>18346</v>
      </c>
      <c r="I25" s="165">
        <v>27780</v>
      </c>
      <c r="J25" s="165">
        <v>34655</v>
      </c>
      <c r="K25" s="165">
        <v>39392</v>
      </c>
      <c r="L25" s="165">
        <v>41352</v>
      </c>
      <c r="M25" s="165">
        <v>46038</v>
      </c>
      <c r="N25" s="166">
        <v>49787</v>
      </c>
      <c r="O25" s="167">
        <v>51447</v>
      </c>
      <c r="Q25" s="172" t="s">
        <v>32</v>
      </c>
      <c r="S25" s="165">
        <v>15000</v>
      </c>
      <c r="T25" s="165">
        <v>15241</v>
      </c>
      <c r="U25" s="165">
        <v>30043</v>
      </c>
      <c r="V25" s="167">
        <f>AVERAGE(L25:O25)</f>
        <v>47156</v>
      </c>
      <c r="W25" s="165">
        <f>V25*(1+W37)</f>
        <v>52720.879559999994</v>
      </c>
      <c r="X25" s="165">
        <f t="shared" ref="X25:AE25" si="25">W25*(1+X37)</f>
        <v>59066.101019443791</v>
      </c>
      <c r="Y25" s="165">
        <f t="shared" si="25"/>
        <v>66105.746604193642</v>
      </c>
      <c r="Z25" s="165">
        <f t="shared" si="25"/>
        <v>73196.529934382517</v>
      </c>
      <c r="AA25" s="165">
        <f t="shared" si="25"/>
        <v>269480.80208473478</v>
      </c>
      <c r="AB25" s="165">
        <f t="shared" si="25"/>
        <v>450141.1528660942</v>
      </c>
      <c r="AC25" s="165">
        <f t="shared" si="25"/>
        <v>646295.11881363182</v>
      </c>
      <c r="AD25" s="165">
        <f t="shared" si="25"/>
        <v>857517.78183941299</v>
      </c>
      <c r="AE25" s="165">
        <f t="shared" si="25"/>
        <v>1081721.4735579169</v>
      </c>
    </row>
    <row r="26" spans="2:31" s="173" customFormat="1">
      <c r="B26" s="19" t="s">
        <v>33</v>
      </c>
      <c r="D26" s="174">
        <f t="shared" ref="D26:N26" si="26">D23/D25</f>
        <v>-2.5626000000000002</v>
      </c>
      <c r="E26" s="174">
        <f t="shared" si="26"/>
        <v>-0.96778916544655935</v>
      </c>
      <c r="F26" s="174">
        <f t="shared" si="26"/>
        <v>-0.29112662013958124</v>
      </c>
      <c r="G26" s="174">
        <f t="shared" si="26"/>
        <v>-0.44868164369769054</v>
      </c>
      <c r="H26" s="174">
        <f t="shared" si="26"/>
        <v>-0.53243213779570475</v>
      </c>
      <c r="I26" s="174">
        <f t="shared" si="26"/>
        <v>-0.40820734341252701</v>
      </c>
      <c r="J26" s="174">
        <f t="shared" si="26"/>
        <v>-0.49839849949502235</v>
      </c>
      <c r="K26" s="174">
        <f t="shared" si="26"/>
        <v>-0.73517465475223398</v>
      </c>
      <c r="L26" s="174">
        <f t="shared" si="26"/>
        <v>-0.69038982395047399</v>
      </c>
      <c r="M26" s="174">
        <f t="shared" si="26"/>
        <v>-0.57800078196272642</v>
      </c>
      <c r="N26" s="174">
        <f t="shared" si="26"/>
        <v>-0.78367847028340731</v>
      </c>
      <c r="O26" s="175">
        <f>V26-SUM(L26:N26)</f>
        <v>-1.4594640441494104</v>
      </c>
      <c r="Q26" s="19" t="s">
        <v>33</v>
      </c>
      <c r="S26" s="174">
        <v>0.68</v>
      </c>
      <c r="T26" s="174">
        <v>1.31</v>
      </c>
      <c r="U26" s="174">
        <f>U23/U25</f>
        <v>-2.2414539160536564</v>
      </c>
      <c r="V26" s="176">
        <f>V23/V25</f>
        <v>-3.5115331203460181</v>
      </c>
      <c r="W26" s="174">
        <f>W23/W25</f>
        <v>-3.4066666248655082</v>
      </c>
      <c r="X26" s="174">
        <f t="shared" ref="X26:AE26" si="27">X23/X25</f>
        <v>-2.6329235574102619</v>
      </c>
      <c r="Y26" s="174">
        <f t="shared" si="27"/>
        <v>-1.0995657775029128</v>
      </c>
      <c r="Z26" s="174">
        <f t="shared" si="27"/>
        <v>0.87933277237076901</v>
      </c>
      <c r="AA26" s="174">
        <f t="shared" si="27"/>
        <v>1.0093032600583829</v>
      </c>
      <c r="AB26" s="174">
        <f t="shared" si="27"/>
        <v>1.0623250387795034</v>
      </c>
      <c r="AC26" s="174">
        <f t="shared" si="27"/>
        <v>1.1186505975670047</v>
      </c>
      <c r="AD26" s="174">
        <f t="shared" si="27"/>
        <v>1.1432596535789792</v>
      </c>
      <c r="AE26" s="174">
        <f t="shared" si="27"/>
        <v>1.1201337458641789</v>
      </c>
    </row>
    <row r="27" spans="2:31" s="173" customFormat="1">
      <c r="B27" s="19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4"/>
      <c r="O27" s="177"/>
      <c r="Q27" s="19"/>
      <c r="S27" s="174"/>
      <c r="T27" s="174"/>
      <c r="U27" s="174"/>
      <c r="V27" s="178"/>
    </row>
    <row r="28" spans="2:31" s="173" customFormat="1" ht="16" thickBot="1">
      <c r="B28" s="19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7"/>
      <c r="Q28" s="19"/>
      <c r="S28" s="174"/>
      <c r="T28" s="174"/>
      <c r="U28" s="174"/>
      <c r="V28" s="178"/>
    </row>
    <row r="29" spans="2:31" s="173" customFormat="1">
      <c r="B29" s="248" t="s">
        <v>246</v>
      </c>
      <c r="C29" s="258"/>
      <c r="D29" s="255" t="s">
        <v>133</v>
      </c>
      <c r="E29" s="251">
        <f t="shared" ref="E29:N29" si="28">E10/D10-1</f>
        <v>0.31615673307223724</v>
      </c>
      <c r="F29" s="251">
        <f t="shared" si="28"/>
        <v>7.6488429298115834E-2</v>
      </c>
      <c r="G29" s="251">
        <f t="shared" si="28"/>
        <v>0.17603237213759937</v>
      </c>
      <c r="H29" s="251">
        <f t="shared" si="28"/>
        <v>0.3598110566565933</v>
      </c>
      <c r="I29" s="251">
        <f t="shared" si="28"/>
        <v>0.31869308754737502</v>
      </c>
      <c r="J29" s="251">
        <f t="shared" si="28"/>
        <v>0.12547182117714395</v>
      </c>
      <c r="K29" s="251">
        <f t="shared" si="28"/>
        <v>9.3316583196397129E-2</v>
      </c>
      <c r="L29" s="251">
        <f t="shared" si="28"/>
        <v>0.29135589684664809</v>
      </c>
      <c r="M29" s="251">
        <f t="shared" si="28"/>
        <v>0.3058482536538345</v>
      </c>
      <c r="N29" s="251">
        <f t="shared" si="28"/>
        <v>0.11015076742434005</v>
      </c>
      <c r="O29" s="262">
        <f t="shared" ref="O29" si="29">O10/N10-1</f>
        <v>8.3143551560294071E-3</v>
      </c>
      <c r="Q29" s="248" t="s">
        <v>246</v>
      </c>
      <c r="R29" s="258"/>
      <c r="S29" s="255" t="s">
        <v>133</v>
      </c>
      <c r="T29" s="251">
        <f t="shared" ref="T29:U29" si="30">T10/S10-1</f>
        <v>1.352114758947057</v>
      </c>
      <c r="U29" s="251">
        <f t="shared" si="30"/>
        <v>1.2767904339422729</v>
      </c>
      <c r="V29" s="310">
        <v>1.0149999999999999</v>
      </c>
      <c r="W29" s="311">
        <v>0.53500000000000003</v>
      </c>
      <c r="X29" s="311">
        <v>0.37</v>
      </c>
      <c r="Y29" s="311">
        <v>0.30199999999999999</v>
      </c>
      <c r="Z29" s="311">
        <v>0.27200000000000002</v>
      </c>
      <c r="AA29" s="311">
        <v>0.23599999999999999</v>
      </c>
      <c r="AB29" s="311">
        <v>0.1888</v>
      </c>
      <c r="AC29" s="311">
        <v>0.152</v>
      </c>
      <c r="AD29" s="311">
        <v>0.1041</v>
      </c>
      <c r="AE29" s="312">
        <v>0.05</v>
      </c>
    </row>
    <row r="30" spans="2:31" s="173" customFormat="1">
      <c r="B30" s="249" t="s">
        <v>247</v>
      </c>
      <c r="C30" s="259"/>
      <c r="D30" s="252">
        <f>D11/D10</f>
        <v>0.93873253160498638</v>
      </c>
      <c r="E30" s="252">
        <f t="shared" ref="E30:N30" si="31">E11/E10</f>
        <v>0.92339216201370811</v>
      </c>
      <c r="F30" s="252">
        <f t="shared" si="31"/>
        <v>0.90941480794572693</v>
      </c>
      <c r="G30" s="252">
        <f t="shared" si="31"/>
        <v>0.9174127438663211</v>
      </c>
      <c r="H30" s="252">
        <f t="shared" si="31"/>
        <v>0.90501689685979214</v>
      </c>
      <c r="I30" s="252">
        <f t="shared" si="31"/>
        <v>0.89683053992753836</v>
      </c>
      <c r="J30" s="252">
        <f t="shared" si="31"/>
        <v>0.89287016213609116</v>
      </c>
      <c r="K30" s="252">
        <f t="shared" si="31"/>
        <v>0.90401786477622859</v>
      </c>
      <c r="L30" s="252">
        <f t="shared" si="31"/>
        <v>0.88277540470900406</v>
      </c>
      <c r="M30" s="252">
        <f t="shared" si="31"/>
        <v>0.86028182324245783</v>
      </c>
      <c r="N30" s="252">
        <f t="shared" si="31"/>
        <v>0.87437320409844599</v>
      </c>
      <c r="O30" s="263">
        <f t="shared" ref="O30" si="32">O11/O10</f>
        <v>0.87370687790630952</v>
      </c>
      <c r="Q30" s="249" t="s">
        <v>247</v>
      </c>
      <c r="R30" s="259"/>
      <c r="S30" s="252">
        <f t="shared" ref="S30:U30" si="33">S11/S10</f>
        <v>0.94742679680567876</v>
      </c>
      <c r="T30" s="252">
        <f t="shared" si="33"/>
        <v>0.92072024869887181</v>
      </c>
      <c r="U30" s="252">
        <f t="shared" si="33"/>
        <v>0.89940561512927597</v>
      </c>
      <c r="V30" s="239">
        <v>0.87226999999999999</v>
      </c>
      <c r="W30" s="240">
        <v>0.85962000000000005</v>
      </c>
      <c r="X30" s="240">
        <v>0.85190999999999995</v>
      </c>
      <c r="Y30" s="240">
        <v>0.84299995187912025</v>
      </c>
      <c r="Z30" s="240">
        <v>0.83599999999999997</v>
      </c>
      <c r="AA30" s="240">
        <v>0.82950000000000002</v>
      </c>
      <c r="AB30" s="240">
        <v>0.82950000000000002</v>
      </c>
      <c r="AC30" s="240">
        <v>0.82950000000000002</v>
      </c>
      <c r="AD30" s="240">
        <v>0.82950000000000002</v>
      </c>
      <c r="AE30" s="241">
        <v>0.82950000000000002</v>
      </c>
    </row>
    <row r="31" spans="2:31" s="173" customFormat="1">
      <c r="B31" s="249" t="s">
        <v>134</v>
      </c>
      <c r="C31" s="259"/>
      <c r="D31" s="252">
        <f>D12/D10</f>
        <v>6.1267468395013611E-2</v>
      </c>
      <c r="E31" s="252">
        <f t="shared" ref="E31:N31" si="34">E12/E10</f>
        <v>7.660783798629188E-2</v>
      </c>
      <c r="F31" s="252">
        <f t="shared" si="34"/>
        <v>9.0585192054273025E-2</v>
      </c>
      <c r="G31" s="252">
        <f t="shared" si="34"/>
        <v>8.2587256133678927E-2</v>
      </c>
      <c r="H31" s="252">
        <f t="shared" si="34"/>
        <v>9.4983103140207872E-2</v>
      </c>
      <c r="I31" s="252">
        <f t="shared" si="34"/>
        <v>0.10316946007246164</v>
      </c>
      <c r="J31" s="252">
        <f t="shared" si="34"/>
        <v>0.10712983786390888</v>
      </c>
      <c r="K31" s="252">
        <f t="shared" si="34"/>
        <v>9.5982135223771373E-2</v>
      </c>
      <c r="L31" s="252">
        <f t="shared" si="34"/>
        <v>0.11722459529099591</v>
      </c>
      <c r="M31" s="252">
        <f t="shared" si="34"/>
        <v>0.13971817675754217</v>
      </c>
      <c r="N31" s="252">
        <f t="shared" si="34"/>
        <v>0.12562679590155398</v>
      </c>
      <c r="O31" s="263">
        <f t="shared" ref="O31" si="35">O12/O10</f>
        <v>0.12629312209369042</v>
      </c>
      <c r="Q31" s="249" t="s">
        <v>134</v>
      </c>
      <c r="R31" s="259"/>
      <c r="S31" s="252">
        <f t="shared" ref="S31:U31" si="36">S12/S10</f>
        <v>5.2573203194321204E-2</v>
      </c>
      <c r="T31" s="252">
        <f t="shared" si="36"/>
        <v>7.9279751301128229E-2</v>
      </c>
      <c r="U31" s="252">
        <f t="shared" si="36"/>
        <v>0.10059438487072397</v>
      </c>
      <c r="V31" s="239">
        <v>0.12773000000000001</v>
      </c>
      <c r="W31" s="240">
        <v>0.14037999999999995</v>
      </c>
      <c r="X31" s="240">
        <v>0.14809000000000005</v>
      </c>
      <c r="Y31" s="240">
        <v>0.15700004812087975</v>
      </c>
      <c r="Z31" s="240">
        <v>0.16400000000000003</v>
      </c>
      <c r="AA31" s="240">
        <v>0.17049999999999998</v>
      </c>
      <c r="AB31" s="240">
        <v>0.17049999999999998</v>
      </c>
      <c r="AC31" s="240">
        <v>0.17049999999999998</v>
      </c>
      <c r="AD31" s="240">
        <v>0.17049999999999998</v>
      </c>
      <c r="AE31" s="241">
        <v>0.17049999999999998</v>
      </c>
    </row>
    <row r="32" spans="2:31" s="173" customFormat="1">
      <c r="B32" s="249" t="s">
        <v>248</v>
      </c>
      <c r="C32" s="259"/>
      <c r="D32" s="252">
        <f>D13/D10</f>
        <v>0.28859705921180839</v>
      </c>
      <c r="E32" s="252">
        <f t="shared" ref="E32:N32" si="37">E13/E10</f>
        <v>0.24842261122919304</v>
      </c>
      <c r="F32" s="252">
        <f t="shared" si="37"/>
        <v>0.26034368774375605</v>
      </c>
      <c r="G32" s="252">
        <f t="shared" si="37"/>
        <v>0.25204393083647419</v>
      </c>
      <c r="H32" s="252">
        <f t="shared" si="37"/>
        <v>0.23080167137411145</v>
      </c>
      <c r="I32" s="252">
        <f t="shared" si="37"/>
        <v>0.20125145701745897</v>
      </c>
      <c r="J32" s="252">
        <f t="shared" si="37"/>
        <v>0.21642074250216387</v>
      </c>
      <c r="K32" s="252">
        <f t="shared" si="37"/>
        <v>0.2233986163689774</v>
      </c>
      <c r="L32" s="252">
        <f t="shared" si="37"/>
        <v>0.20555351056758567</v>
      </c>
      <c r="M32" s="252">
        <f t="shared" si="37"/>
        <v>0.1843836219265256</v>
      </c>
      <c r="N32" s="252">
        <f t="shared" si="37"/>
        <v>0.18995226760828385</v>
      </c>
      <c r="O32" s="263">
        <f t="shared" ref="O32" si="38">O13/O10</f>
        <v>0.26695149472782242</v>
      </c>
      <c r="Q32" s="249" t="s">
        <v>248</v>
      </c>
      <c r="R32" s="259"/>
      <c r="S32" s="252">
        <f t="shared" ref="S32:U32" si="39">S13/S10</f>
        <v>0.29762178623462265</v>
      </c>
      <c r="T32" s="252">
        <f t="shared" si="39"/>
        <v>0.26010921326859709</v>
      </c>
      <c r="U32" s="252">
        <f t="shared" si="39"/>
        <v>0.21747132526399066</v>
      </c>
      <c r="V32" s="239">
        <v>0.21312189875871085</v>
      </c>
      <c r="W32" s="240">
        <v>0.19180970888283977</v>
      </c>
      <c r="X32" s="240">
        <v>0.1726287379945558</v>
      </c>
      <c r="Y32" s="240">
        <v>0.15536586419510023</v>
      </c>
      <c r="Z32" s="240">
        <v>0.1398292777755902</v>
      </c>
      <c r="AA32" s="240">
        <v>0.12584634999803118</v>
      </c>
      <c r="AB32" s="240">
        <v>0.11326171499822807</v>
      </c>
      <c r="AC32" s="240">
        <v>0.10193554349840526</v>
      </c>
      <c r="AD32" s="240">
        <v>9.174198914856474E-2</v>
      </c>
      <c r="AE32" s="241">
        <v>8.2567790233708263E-2</v>
      </c>
    </row>
    <row r="33" spans="2:31">
      <c r="B33" s="249" t="s">
        <v>249</v>
      </c>
      <c r="C33" s="42"/>
      <c r="D33" s="49">
        <f>D14/D$10</f>
        <v>1.2943742809904886E-2</v>
      </c>
      <c r="E33" s="49">
        <f t="shared" ref="E33:N33" si="40">E14/E$10</f>
        <v>1.1974303250304493E-2</v>
      </c>
      <c r="F33" s="49">
        <f t="shared" si="40"/>
        <v>3.7181813744847567E-3</v>
      </c>
      <c r="G33" s="49">
        <f t="shared" si="40"/>
        <v>8.5077324157809952E-3</v>
      </c>
      <c r="H33" s="49">
        <f t="shared" si="40"/>
        <v>9.8245945031102434E-3</v>
      </c>
      <c r="I33" s="49">
        <f t="shared" si="40"/>
        <v>8.7631447170756129E-3</v>
      </c>
      <c r="J33" s="49">
        <f t="shared" si="40"/>
        <v>1.0560437896437043E-2</v>
      </c>
      <c r="K33" s="49">
        <f t="shared" si="40"/>
        <v>1.9942274612798759E-2</v>
      </c>
      <c r="L33" s="49">
        <f t="shared" si="40"/>
        <v>2.0719406170802691E-2</v>
      </c>
      <c r="M33" s="49">
        <f t="shared" si="40"/>
        <v>1.9584859782949257E-2</v>
      </c>
      <c r="N33" s="49">
        <f t="shared" si="40"/>
        <v>1.917150597248583E-2</v>
      </c>
      <c r="O33" s="264">
        <f t="shared" ref="O33" si="41">O14/O$10</f>
        <v>-3.878274453270051E-3</v>
      </c>
      <c r="Q33" s="249" t="s">
        <v>249</v>
      </c>
      <c r="R33" s="42"/>
      <c r="S33" s="49">
        <f t="shared" ref="S33:U34" si="42">S14/S$10</f>
        <v>9.8234140677204863E-3</v>
      </c>
      <c r="T33" s="49">
        <f t="shared" si="42"/>
        <v>8.917531174683014E-3</v>
      </c>
      <c r="U33" s="49">
        <f t="shared" si="42"/>
        <v>1.279387481353559E-2</v>
      </c>
      <c r="V33" s="239">
        <v>1.3113721683873978E-2</v>
      </c>
      <c r="W33" s="240">
        <v>1.3441564725970826E-2</v>
      </c>
      <c r="X33" s="240">
        <v>1.3777603844120096E-2</v>
      </c>
      <c r="Y33" s="240">
        <v>1.4122043940223098E-2</v>
      </c>
      <c r="Z33" s="240">
        <v>1.4475095038728675E-2</v>
      </c>
      <c r="AA33" s="240">
        <v>1.483697241469689E-2</v>
      </c>
      <c r="AB33" s="240">
        <v>1.5207896725064311E-2</v>
      </c>
      <c r="AC33" s="240">
        <v>1.5588094143190918E-2</v>
      </c>
      <c r="AD33" s="240">
        <v>1.597779649677069E-2</v>
      </c>
      <c r="AE33" s="241">
        <v>1.6377241409189957E-2</v>
      </c>
    </row>
    <row r="34" spans="2:31">
      <c r="B34" s="249" t="s">
        <v>250</v>
      </c>
      <c r="C34" s="42"/>
      <c r="D34" s="49">
        <f>D15/D$10</f>
        <v>1.3704399866727853E-3</v>
      </c>
      <c r="E34" s="49">
        <f t="shared" ref="E34:N34" si="43">E15/E$10</f>
        <v>1.8675518830750125E-3</v>
      </c>
      <c r="F34" s="49">
        <f t="shared" si="43"/>
        <v>2.9772072819561715E-3</v>
      </c>
      <c r="G34" s="49">
        <f t="shared" si="43"/>
        <v>2.5655246309228718E-4</v>
      </c>
      <c r="H34" s="49">
        <f t="shared" si="43"/>
        <v>4.9664004971949546E-4</v>
      </c>
      <c r="I34" s="49">
        <f t="shared" si="43"/>
        <v>9.84670282735027E-4</v>
      </c>
      <c r="J34" s="49">
        <f t="shared" si="43"/>
        <v>5.7578595717872353E-4</v>
      </c>
      <c r="K34" s="49">
        <f t="shared" si="43"/>
        <v>3.8130217256744604E-4</v>
      </c>
      <c r="L34" s="49">
        <f t="shared" si="43"/>
        <v>3.1645821030303192E-4</v>
      </c>
      <c r="M34" s="49">
        <f t="shared" si="43"/>
        <v>7.036962303581043E-4</v>
      </c>
      <c r="N34" s="49">
        <f t="shared" si="43"/>
        <v>7.5535185513319583E-4</v>
      </c>
      <c r="O34" s="264">
        <f t="shared" ref="O34" si="44">O15/O$10</f>
        <v>1.4395724625616197E-3</v>
      </c>
      <c r="Q34" s="249" t="s">
        <v>250</v>
      </c>
      <c r="R34" s="42"/>
      <c r="S34" s="49">
        <f t="shared" si="42"/>
        <v>1.2597631645250694E-4</v>
      </c>
      <c r="T34" s="49">
        <f t="shared" si="42"/>
        <v>1.5695041158731821E-3</v>
      </c>
      <c r="U34" s="49">
        <f t="shared" si="42"/>
        <v>6.0241364339055578E-4</v>
      </c>
      <c r="V34" s="239">
        <v>8.4999999999999995E-4</v>
      </c>
      <c r="W34" s="240">
        <v>8.4999999999999995E-4</v>
      </c>
      <c r="X34" s="240">
        <v>8.4637019718116825E-4</v>
      </c>
      <c r="Y34" s="240">
        <v>8.4637019718116825E-4</v>
      </c>
      <c r="Z34" s="240">
        <v>8.4637019718116825E-4</v>
      </c>
      <c r="AA34" s="240">
        <v>8.4637019718116825E-4</v>
      </c>
      <c r="AB34" s="240">
        <v>8.4637019718116825E-4</v>
      </c>
      <c r="AC34" s="240">
        <v>8.4637019718116825E-4</v>
      </c>
      <c r="AD34" s="240">
        <v>8.4637019718116825E-4</v>
      </c>
      <c r="AE34" s="241">
        <v>8.4637019718116825E-4</v>
      </c>
    </row>
    <row r="35" spans="2:31">
      <c r="B35" s="249" t="s">
        <v>191</v>
      </c>
      <c r="C35" s="42"/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264">
        <v>1</v>
      </c>
      <c r="Q35" s="249" t="s">
        <v>191</v>
      </c>
      <c r="R35" s="42"/>
      <c r="S35" s="49">
        <v>1</v>
      </c>
      <c r="T35" s="49">
        <v>1</v>
      </c>
      <c r="U35" s="49">
        <v>1</v>
      </c>
      <c r="V35" s="239">
        <v>0</v>
      </c>
      <c r="W35" s="240">
        <v>0</v>
      </c>
      <c r="X35" s="240">
        <v>0.21</v>
      </c>
      <c r="Y35" s="240">
        <v>0.21</v>
      </c>
      <c r="Z35" s="240">
        <v>0.21</v>
      </c>
      <c r="AA35" s="240">
        <v>0.21</v>
      </c>
      <c r="AB35" s="240">
        <v>0.28000000000000003</v>
      </c>
      <c r="AC35" s="240">
        <v>0.28000000000000003</v>
      </c>
      <c r="AD35" s="240">
        <v>0.28000000000000003</v>
      </c>
      <c r="AE35" s="241">
        <v>0.28000000000000003</v>
      </c>
    </row>
    <row r="36" spans="2:31">
      <c r="B36" s="249" t="s">
        <v>251</v>
      </c>
      <c r="C36" s="42"/>
      <c r="D36" s="49">
        <f>D19/D18</f>
        <v>0</v>
      </c>
      <c r="E36" s="49">
        <f t="shared" ref="E36:N36" si="45">E19/E18</f>
        <v>0.62588114226910219</v>
      </c>
      <c r="F36" s="49">
        <f t="shared" si="45"/>
        <v>0.88986396439437754</v>
      </c>
      <c r="G36" s="49">
        <f t="shared" si="45"/>
        <v>0.88399170159617257</v>
      </c>
      <c r="H36" s="49">
        <f t="shared" si="45"/>
        <v>0.86628569258809229</v>
      </c>
      <c r="I36" s="49">
        <f t="shared" si="45"/>
        <v>0.80556097560975615</v>
      </c>
      <c r="J36" s="49">
        <f t="shared" si="45"/>
        <v>0.75097409149474537</v>
      </c>
      <c r="K36" s="49">
        <f t="shared" si="45"/>
        <v>0.66779315772417946</v>
      </c>
      <c r="L36" s="49">
        <f t="shared" si="45"/>
        <v>0.65435372172986583</v>
      </c>
      <c r="M36" s="49">
        <f t="shared" si="45"/>
        <v>0.58460169531213413</v>
      </c>
      <c r="N36" s="49">
        <f t="shared" si="45"/>
        <v>0.5770239798794502</v>
      </c>
      <c r="O36" s="264">
        <f t="shared" ref="O36" si="46">O19/O18</f>
        <v>0.53198424940007827</v>
      </c>
      <c r="Q36" s="249" t="s">
        <v>251</v>
      </c>
      <c r="R36" s="42"/>
      <c r="S36" s="49">
        <f t="shared" ref="S36:U36" si="47">S19/S18</f>
        <v>0</v>
      </c>
      <c r="T36" s="49">
        <f t="shared" si="47"/>
        <v>0.61756006718761414</v>
      </c>
      <c r="U36" s="49">
        <f t="shared" si="47"/>
        <v>0.75758503601640859</v>
      </c>
      <c r="V36" s="239">
        <v>0.5770239798794502</v>
      </c>
      <c r="W36" s="240">
        <v>0.54817278088547772</v>
      </c>
      <c r="X36" s="240">
        <v>0.52076414184120379</v>
      </c>
      <c r="Y36" s="240">
        <v>0.49472593474914356</v>
      </c>
      <c r="Z36" s="240">
        <v>0.46998963801168636</v>
      </c>
      <c r="AA36" s="240">
        <v>0.44649015611110204</v>
      </c>
      <c r="AB36" s="240">
        <v>0.42416564830554693</v>
      </c>
      <c r="AC36" s="240">
        <v>0.40295736589026954</v>
      </c>
      <c r="AD36" s="240">
        <v>0.38280949759575605</v>
      </c>
      <c r="AE36" s="241">
        <v>0.36366902271596824</v>
      </c>
    </row>
    <row r="37" spans="2:31">
      <c r="B37" s="249" t="s">
        <v>252</v>
      </c>
      <c r="C37" s="42"/>
      <c r="D37" s="256" t="s">
        <v>133</v>
      </c>
      <c r="E37" s="253">
        <f t="shared" ref="E37:N37" si="48">E25/D25-1</f>
        <v>1.7333333333333645E-3</v>
      </c>
      <c r="F37" s="253">
        <f t="shared" si="48"/>
        <v>1.2644749101557995E-3</v>
      </c>
      <c r="G37" s="253">
        <f t="shared" si="48"/>
        <v>5.6231306081754751E-2</v>
      </c>
      <c r="H37" s="253">
        <f t="shared" si="48"/>
        <v>0.15448996287206596</v>
      </c>
      <c r="I37" s="253">
        <f t="shared" si="48"/>
        <v>0.51422653439441834</v>
      </c>
      <c r="J37" s="253">
        <f t="shared" si="48"/>
        <v>0.24748020158387329</v>
      </c>
      <c r="K37" s="253">
        <f t="shared" si="48"/>
        <v>0.13669023228971278</v>
      </c>
      <c r="L37" s="253">
        <f t="shared" si="48"/>
        <v>4.9756295694557195E-2</v>
      </c>
      <c r="M37" s="253">
        <f t="shared" si="48"/>
        <v>0.11331979106210088</v>
      </c>
      <c r="N37" s="253">
        <f t="shared" si="48"/>
        <v>8.1432729484339106E-2</v>
      </c>
      <c r="O37" s="265">
        <f t="shared" ref="O37" si="49">O25/N25-1</f>
        <v>3.3342037077952025E-2</v>
      </c>
      <c r="Q37" s="249" t="s">
        <v>252</v>
      </c>
      <c r="R37" s="42"/>
      <c r="S37" s="257" t="s">
        <v>133</v>
      </c>
      <c r="T37" s="253">
        <f t="shared" ref="T37:U37" si="50">T25/S25-1</f>
        <v>1.6066666666666674E-2</v>
      </c>
      <c r="U37" s="253">
        <f t="shared" si="50"/>
        <v>0.97119611574043696</v>
      </c>
      <c r="V37" s="242">
        <v>0.1227</v>
      </c>
      <c r="W37" s="243">
        <v>0.11801</v>
      </c>
      <c r="X37" s="243">
        <v>0.120355</v>
      </c>
      <c r="Y37" s="243">
        <v>0.1191825</v>
      </c>
      <c r="Z37" s="243">
        <v>0.10726425000000001</v>
      </c>
      <c r="AA37" s="243">
        <v>2.6816062500000002</v>
      </c>
      <c r="AB37" s="243">
        <v>0.67040156250000005</v>
      </c>
      <c r="AC37" s="243">
        <v>0.43576101562500003</v>
      </c>
      <c r="AD37" s="243">
        <v>0.32682076171875002</v>
      </c>
      <c r="AE37" s="244">
        <v>0.26145660937500004</v>
      </c>
    </row>
    <row r="38" spans="2:31">
      <c r="B38" s="249" t="s">
        <v>253</v>
      </c>
      <c r="C38" s="42"/>
      <c r="D38" s="49">
        <f>D7/D$10</f>
        <v>0.9327918628554186</v>
      </c>
      <c r="E38" s="49">
        <f t="shared" ref="E38:N38" si="51">E7/E$10</f>
        <v>0.92635827382800373</v>
      </c>
      <c r="F38" s="49">
        <f t="shared" si="51"/>
        <v>0.92339126537964944</v>
      </c>
      <c r="G38" s="49">
        <f t="shared" si="51"/>
        <v>0.92990081229037214</v>
      </c>
      <c r="H38" s="49">
        <f t="shared" si="51"/>
        <v>0.92684686284411055</v>
      </c>
      <c r="I38" s="49">
        <f t="shared" si="51"/>
        <v>0.92138628110232579</v>
      </c>
      <c r="J38" s="49">
        <f t="shared" si="51"/>
        <v>0.90904825198487249</v>
      </c>
      <c r="K38" s="49">
        <f t="shared" si="51"/>
        <v>0.90075884261966566</v>
      </c>
      <c r="L38" s="49">
        <f t="shared" si="51"/>
        <v>0.90545314432348123</v>
      </c>
      <c r="M38" s="49">
        <f t="shared" si="51"/>
        <v>0.86774161166716179</v>
      </c>
      <c r="N38" s="49">
        <f t="shared" si="51"/>
        <v>0.85035630321485789</v>
      </c>
      <c r="O38" s="264">
        <f t="shared" ref="O38" si="52">O7/O$10</f>
        <v>0.90293741503094149</v>
      </c>
      <c r="Q38" s="249" t="s">
        <v>253</v>
      </c>
      <c r="R38" s="42"/>
      <c r="S38" s="49">
        <f t="shared" ref="S38:U40" si="53">S7/S$10</f>
        <v>0.93657640189731284</v>
      </c>
      <c r="T38" s="49">
        <f t="shared" si="53"/>
        <v>0.92786451965955263</v>
      </c>
      <c r="U38" s="49">
        <f t="shared" si="53"/>
        <v>0.91284843978446073</v>
      </c>
      <c r="V38" s="239">
        <v>0.88</v>
      </c>
      <c r="W38" s="240">
        <v>0.88</v>
      </c>
      <c r="X38" s="240">
        <v>0.85</v>
      </c>
      <c r="Y38" s="240">
        <v>0.85</v>
      </c>
      <c r="Z38" s="240">
        <v>0.85</v>
      </c>
      <c r="AA38" s="240">
        <v>0.8</v>
      </c>
      <c r="AB38" s="240">
        <v>0.8</v>
      </c>
      <c r="AC38" s="240">
        <v>0.8</v>
      </c>
      <c r="AD38" s="240">
        <v>0.75</v>
      </c>
      <c r="AE38" s="241">
        <v>0.75</v>
      </c>
    </row>
    <row r="39" spans="2:31">
      <c r="B39" s="249" t="s">
        <v>254</v>
      </c>
      <c r="C39" s="42"/>
      <c r="D39" s="49">
        <f>D8/D$10</f>
        <v>3.5996052127010868E-2</v>
      </c>
      <c r="E39" s="49">
        <f t="shared" ref="E39:N39" si="54">E8/E$10</f>
        <v>3.734148496644616E-2</v>
      </c>
      <c r="F39" s="49">
        <f t="shared" si="54"/>
        <v>3.309536380940549E-2</v>
      </c>
      <c r="G39" s="49">
        <f t="shared" si="54"/>
        <v>2.8337728680678957E-2</v>
      </c>
      <c r="H39" s="49">
        <f t="shared" si="54"/>
        <v>2.8114266054791327E-2</v>
      </c>
      <c r="I39" s="49">
        <f t="shared" si="54"/>
        <v>3.4972627007738497E-2</v>
      </c>
      <c r="J39" s="49">
        <f t="shared" si="54"/>
        <v>4.0080684811402055E-2</v>
      </c>
      <c r="K39" s="49">
        <f t="shared" si="54"/>
        <v>4.3412021790649721E-2</v>
      </c>
      <c r="L39" s="49">
        <f t="shared" si="54"/>
        <v>4.3734789482465036E-2</v>
      </c>
      <c r="M39" s="49">
        <f t="shared" si="54"/>
        <v>6.389440095069969E-2</v>
      </c>
      <c r="N39" s="49">
        <f t="shared" si="54"/>
        <v>8.4422215199469519E-2</v>
      </c>
      <c r="O39" s="264">
        <f t="shared" ref="O39" si="55">O8/O$10</f>
        <v>7.9119585232397732E-2</v>
      </c>
      <c r="Q39" s="249" t="s">
        <v>254</v>
      </c>
      <c r="R39" s="42"/>
      <c r="S39" s="49">
        <f t="shared" si="53"/>
        <v>2.7832550089278867E-2</v>
      </c>
      <c r="T39" s="49">
        <f t="shared" si="53"/>
        <v>3.3199436468848605E-2</v>
      </c>
      <c r="U39" s="49">
        <f t="shared" si="53"/>
        <v>3.7629885853353702E-2</v>
      </c>
      <c r="V39" s="239">
        <v>7.0000000000000007E-2</v>
      </c>
      <c r="W39" s="240">
        <v>7.0000000000000007E-2</v>
      </c>
      <c r="X39" s="240">
        <v>0.09</v>
      </c>
      <c r="Y39" s="240">
        <v>0.09</v>
      </c>
      <c r="Z39" s="240">
        <v>0.09</v>
      </c>
      <c r="AA39" s="240">
        <v>0.11</v>
      </c>
      <c r="AB39" s="240">
        <v>0.11</v>
      </c>
      <c r="AC39" s="240">
        <v>0.11</v>
      </c>
      <c r="AD39" s="240">
        <v>0.14000000000000001</v>
      </c>
      <c r="AE39" s="241">
        <v>0.14000000000000001</v>
      </c>
    </row>
    <row r="40" spans="2:31" ht="16" thickBot="1">
      <c r="B40" s="250" t="s">
        <v>255</v>
      </c>
      <c r="C40" s="260"/>
      <c r="D40" s="254">
        <f>D9/D$10</f>
        <v>3.121208501757055E-2</v>
      </c>
      <c r="E40" s="254">
        <f t="shared" ref="E40:N40" si="56">E9/E$10</f>
        <v>3.6300241205550116E-2</v>
      </c>
      <c r="F40" s="254">
        <f t="shared" si="56"/>
        <v>4.3513370810945119E-2</v>
      </c>
      <c r="G40" s="254">
        <f t="shared" si="56"/>
        <v>4.1761459028948927E-2</v>
      </c>
      <c r="H40" s="254">
        <f t="shared" si="56"/>
        <v>4.5038871101098159E-2</v>
      </c>
      <c r="I40" s="254">
        <f t="shared" si="56"/>
        <v>4.3641091889935743E-2</v>
      </c>
      <c r="J40" s="254">
        <f t="shared" si="56"/>
        <v>5.0871063203725413E-2</v>
      </c>
      <c r="K40" s="254">
        <f t="shared" si="56"/>
        <v>5.5829135589684664E-2</v>
      </c>
      <c r="L40" s="254">
        <f t="shared" si="56"/>
        <v>5.0812066194053762E-2</v>
      </c>
      <c r="M40" s="254">
        <f t="shared" si="56"/>
        <v>6.8363987382138489E-2</v>
      </c>
      <c r="N40" s="254">
        <f t="shared" si="56"/>
        <v>6.5221481585672605E-2</v>
      </c>
      <c r="O40" s="266">
        <f t="shared" ref="O40" si="57">O9/O$10</f>
        <v>1.7942999736660924E-2</v>
      </c>
      <c r="Q40" s="250" t="s">
        <v>255</v>
      </c>
      <c r="R40" s="260"/>
      <c r="S40" s="254">
        <f t="shared" si="53"/>
        <v>3.5591048013408261E-2</v>
      </c>
      <c r="T40" s="254">
        <f t="shared" si="53"/>
        <v>3.8936043871598727E-2</v>
      </c>
      <c r="U40" s="254">
        <f t="shared" si="53"/>
        <v>4.9521674362185603E-2</v>
      </c>
      <c r="V40" s="245">
        <v>0.05</v>
      </c>
      <c r="W40" s="246">
        <v>0.05</v>
      </c>
      <c r="X40" s="246">
        <v>0.06</v>
      </c>
      <c r="Y40" s="246">
        <v>0.06</v>
      </c>
      <c r="Z40" s="246">
        <v>0.06</v>
      </c>
      <c r="AA40" s="246">
        <v>0.09</v>
      </c>
      <c r="AB40" s="246">
        <v>0.09</v>
      </c>
      <c r="AC40" s="246">
        <v>0.09</v>
      </c>
      <c r="AD40" s="246">
        <v>0.11</v>
      </c>
      <c r="AE40" s="247">
        <v>0.11</v>
      </c>
    </row>
    <row r="41" spans="2:31" s="19" customFormat="1">
      <c r="T41" s="181"/>
      <c r="U41" s="181"/>
      <c r="V41" s="181"/>
      <c r="W41" s="181"/>
      <c r="X41" s="181"/>
      <c r="Y41" s="181"/>
      <c r="Z41" s="181"/>
      <c r="AA41" s="181"/>
      <c r="AB41" s="181"/>
      <c r="AC41" s="181"/>
      <c r="AD41" s="181"/>
      <c r="AE41" s="181"/>
    </row>
    <row r="42" spans="2:31">
      <c r="T42" s="184"/>
      <c r="U42" s="184"/>
      <c r="V42" s="184"/>
      <c r="W42" s="184"/>
      <c r="X42" s="184"/>
      <c r="Y42" s="184"/>
      <c r="Z42" s="184"/>
      <c r="AA42" s="184"/>
      <c r="AB42" s="184"/>
      <c r="AC42" s="184"/>
      <c r="AD42" s="184"/>
      <c r="AE42" s="184"/>
    </row>
    <row r="43" spans="2:31">
      <c r="Q43" s="271"/>
    </row>
    <row r="44" spans="2:31">
      <c r="V44" s="216"/>
      <c r="W44" s="216"/>
      <c r="X44" s="216"/>
    </row>
    <row r="45" spans="2:31">
      <c r="V45" s="216"/>
      <c r="W45" s="273"/>
      <c r="X45" s="216"/>
    </row>
    <row r="46" spans="2:31" s="185" customFormat="1">
      <c r="V46" s="274"/>
      <c r="W46" s="272"/>
      <c r="X46" s="274"/>
    </row>
    <row r="47" spans="2:31" s="19" customFormat="1">
      <c r="Q47" s="18"/>
      <c r="R47" s="18"/>
      <c r="S47" s="179"/>
      <c r="V47" s="162"/>
      <c r="W47" s="272"/>
      <c r="X47" s="162"/>
    </row>
    <row r="48" spans="2:31">
      <c r="Q48" s="172"/>
      <c r="S48" s="180"/>
      <c r="V48" s="216"/>
      <c r="W48" s="272"/>
      <c r="X48" s="216"/>
    </row>
    <row r="49" spans="17:24">
      <c r="Q49" s="172"/>
      <c r="V49" s="216"/>
      <c r="W49" s="275"/>
      <c r="X49" s="216"/>
    </row>
    <row r="50" spans="17:24">
      <c r="Q50" s="19"/>
      <c r="R50" s="19"/>
      <c r="S50" s="181"/>
      <c r="V50" s="216"/>
      <c r="W50" s="216"/>
      <c r="X50" s="216"/>
    </row>
    <row r="51" spans="17:24">
      <c r="Q51" s="182"/>
      <c r="S51" s="183"/>
      <c r="V51" s="216"/>
      <c r="W51" s="276"/>
      <c r="X51" s="216"/>
    </row>
    <row r="52" spans="17:24">
      <c r="V52" s="216"/>
      <c r="W52" s="216"/>
      <c r="X52" s="216"/>
    </row>
    <row r="53" spans="17:24" s="185" customFormat="1">
      <c r="V53" s="274"/>
      <c r="W53" s="274"/>
      <c r="X53" s="274"/>
    </row>
    <row r="54" spans="17:24" s="19" customFormat="1">
      <c r="V54" s="162"/>
      <c r="W54" s="162"/>
      <c r="X54" s="162"/>
    </row>
    <row r="55" spans="17:24">
      <c r="V55" s="216"/>
      <c r="W55" s="277"/>
      <c r="X55" s="216"/>
    </row>
    <row r="56" spans="17:24">
      <c r="V56" s="216"/>
      <c r="W56" s="216"/>
      <c r="X56" s="216"/>
    </row>
    <row r="57" spans="17:24" s="185" customFormat="1">
      <c r="V57" s="274"/>
      <c r="W57" s="274"/>
      <c r="X57" s="274"/>
    </row>
    <row r="58" spans="17:24" s="19" customFormat="1"/>
    <row r="65" spans="2:2" s="185" customFormat="1"/>
    <row r="66" spans="2:2" s="19" customFormat="1"/>
    <row r="67" spans="2:2" s="185" customFormat="1"/>
    <row r="68" spans="2:2" s="19" customFormat="1"/>
    <row r="69" spans="2:2" s="19" customFormat="1"/>
    <row r="72" spans="2:2" s="186" customFormat="1"/>
    <row r="75" spans="2:2">
      <c r="B75" s="18"/>
    </row>
    <row r="76" spans="2:2">
      <c r="B76" s="18"/>
    </row>
    <row r="77" spans="2:2">
      <c r="B77" s="18"/>
    </row>
    <row r="78" spans="2:2">
      <c r="B78" s="18"/>
    </row>
    <row r="79" spans="2:2">
      <c r="B79" s="18"/>
    </row>
    <row r="80" spans="2:2">
      <c r="B80" s="18"/>
    </row>
    <row r="81" spans="2:2">
      <c r="B81" s="18"/>
    </row>
    <row r="82" spans="2:2">
      <c r="B82" s="18"/>
    </row>
    <row r="83" spans="2:2">
      <c r="B83" s="18"/>
    </row>
    <row r="84" spans="2:2">
      <c r="B84" s="18"/>
    </row>
    <row r="85" spans="2:2">
      <c r="B85" s="18"/>
    </row>
    <row r="86" spans="2:2">
      <c r="B86" s="18"/>
    </row>
    <row r="87" spans="2:2">
      <c r="B87" s="18"/>
    </row>
    <row r="88" spans="2:2">
      <c r="B88" s="18"/>
    </row>
    <row r="89" spans="2:2">
      <c r="B89" s="18"/>
    </row>
    <row r="90" spans="2:2">
      <c r="B90" s="18"/>
    </row>
    <row r="91" spans="2:2">
      <c r="B91" s="18"/>
    </row>
    <row r="92" spans="2:2">
      <c r="B92" s="18"/>
    </row>
    <row r="93" spans="2:2">
      <c r="B93" s="18"/>
    </row>
    <row r="94" spans="2:2">
      <c r="B94" s="18"/>
    </row>
    <row r="95" spans="2:2">
      <c r="B95" s="18"/>
    </row>
    <row r="96" spans="2:2">
      <c r="B96" s="18"/>
    </row>
    <row r="97" spans="2:2">
      <c r="B97" s="18"/>
    </row>
    <row r="98" spans="2:2">
      <c r="B98" s="18"/>
    </row>
    <row r="99" spans="2:2">
      <c r="B99" s="18"/>
    </row>
    <row r="100" spans="2:2">
      <c r="B100" s="18"/>
    </row>
    <row r="101" spans="2:2">
      <c r="B101" s="18"/>
    </row>
    <row r="102" spans="2:2">
      <c r="B102" s="18"/>
    </row>
    <row r="103" spans="2:2">
      <c r="B103" s="18"/>
    </row>
    <row r="104" spans="2:2">
      <c r="B104" s="18"/>
    </row>
    <row r="105" spans="2:2">
      <c r="B105" s="18"/>
    </row>
    <row r="106" spans="2:2">
      <c r="B106" s="18"/>
    </row>
    <row r="107" spans="2:2">
      <c r="B107" s="18"/>
    </row>
    <row r="108" spans="2:2">
      <c r="B108" s="18"/>
    </row>
    <row r="109" spans="2:2">
      <c r="B109" s="18"/>
    </row>
    <row r="110" spans="2:2">
      <c r="B110" s="18"/>
    </row>
    <row r="111" spans="2:2">
      <c r="B111" s="18"/>
    </row>
    <row r="112" spans="2:2">
      <c r="B112" s="18"/>
    </row>
    <row r="113" spans="2:2">
      <c r="B113" s="18"/>
    </row>
    <row r="114" spans="2:2">
      <c r="B114" s="18"/>
    </row>
    <row r="115" spans="2:2">
      <c r="B115" s="18"/>
    </row>
    <row r="116" spans="2:2">
      <c r="B116" s="18"/>
    </row>
    <row r="117" spans="2:2">
      <c r="B117" s="18"/>
    </row>
    <row r="118" spans="2:2">
      <c r="B118" s="18"/>
    </row>
    <row r="119" spans="2:2">
      <c r="B119" s="18"/>
    </row>
    <row r="120" spans="2:2">
      <c r="B120" s="18"/>
    </row>
    <row r="121" spans="2:2">
      <c r="B121" s="18"/>
    </row>
    <row r="122" spans="2:2">
      <c r="B122" s="18"/>
    </row>
    <row r="123" spans="2:2">
      <c r="B123" s="18"/>
    </row>
    <row r="124" spans="2:2">
      <c r="B124" s="18"/>
    </row>
    <row r="125" spans="2:2">
      <c r="B125" s="18"/>
    </row>
    <row r="126" spans="2:2">
      <c r="B126" s="18"/>
    </row>
    <row r="127" spans="2:2">
      <c r="B127" s="18"/>
    </row>
    <row r="128" spans="2:2">
      <c r="B128" s="18"/>
    </row>
    <row r="129" spans="2:13">
      <c r="B129" s="18"/>
    </row>
    <row r="130" spans="2:13">
      <c r="B130" s="18"/>
    </row>
    <row r="131" spans="2:13">
      <c r="B131" s="18"/>
    </row>
    <row r="132" spans="2:13">
      <c r="B132" s="187"/>
      <c r="C132" s="187"/>
      <c r="D132" s="188"/>
      <c r="E132" s="188"/>
      <c r="F132" s="188"/>
      <c r="G132" s="188"/>
      <c r="H132" s="188"/>
      <c r="I132" s="188"/>
      <c r="J132" s="188"/>
      <c r="K132" s="188"/>
      <c r="L132" s="188"/>
      <c r="M132" s="188"/>
    </row>
    <row r="133" spans="2:13">
      <c r="B133" s="187"/>
      <c r="C133" s="187"/>
      <c r="D133" s="188"/>
      <c r="E133" s="188"/>
      <c r="F133" s="188"/>
      <c r="G133" s="188"/>
      <c r="H133" s="188"/>
      <c r="I133" s="188"/>
      <c r="J133" s="188"/>
      <c r="K133" s="188"/>
      <c r="L133" s="188"/>
      <c r="M133" s="188"/>
    </row>
    <row r="134" spans="2:13">
      <c r="B134" s="189"/>
      <c r="C134" s="187"/>
      <c r="D134" s="190"/>
      <c r="E134" s="190"/>
      <c r="F134" s="190"/>
      <c r="G134" s="190"/>
      <c r="H134" s="190"/>
      <c r="I134" s="190"/>
      <c r="J134" s="190"/>
      <c r="K134" s="190"/>
      <c r="L134" s="190"/>
      <c r="M134" s="190"/>
    </row>
    <row r="135" spans="2:13">
      <c r="B135" s="187"/>
      <c r="C135" s="187"/>
      <c r="D135" s="188"/>
      <c r="E135" s="188"/>
      <c r="F135" s="188"/>
      <c r="G135" s="188"/>
      <c r="H135" s="188"/>
      <c r="I135" s="188"/>
      <c r="J135" s="188"/>
      <c r="K135" s="188"/>
      <c r="L135" s="188"/>
      <c r="M135" s="188"/>
    </row>
    <row r="136" spans="2:13">
      <c r="B136" s="187"/>
      <c r="C136" s="187"/>
      <c r="D136" s="188"/>
      <c r="E136" s="188"/>
      <c r="F136" s="188"/>
      <c r="G136" s="188"/>
      <c r="H136" s="188"/>
      <c r="I136" s="188"/>
      <c r="J136" s="188"/>
      <c r="K136" s="188"/>
      <c r="L136" s="188"/>
      <c r="M136" s="188"/>
    </row>
    <row r="137" spans="2:13">
      <c r="B137" s="187"/>
      <c r="C137" s="187"/>
      <c r="D137" s="188"/>
      <c r="E137" s="188"/>
      <c r="F137" s="188"/>
      <c r="G137" s="188"/>
      <c r="H137" s="188"/>
      <c r="I137" s="188"/>
      <c r="J137" s="188"/>
      <c r="K137" s="188"/>
      <c r="L137" s="188"/>
      <c r="M137" s="188"/>
    </row>
    <row r="138" spans="2:13">
      <c r="B138" s="187"/>
      <c r="C138" s="187"/>
      <c r="D138" s="188"/>
      <c r="E138" s="188"/>
      <c r="F138" s="188"/>
      <c r="G138" s="188"/>
      <c r="H138" s="188"/>
      <c r="I138" s="188"/>
      <c r="J138" s="188"/>
      <c r="K138" s="188"/>
      <c r="L138" s="188"/>
      <c r="M138" s="188"/>
    </row>
    <row r="139" spans="2:13">
      <c r="B139" s="187"/>
      <c r="C139" s="187"/>
      <c r="D139" s="188"/>
      <c r="E139" s="188"/>
      <c r="F139" s="188"/>
      <c r="G139" s="188"/>
      <c r="H139" s="188"/>
      <c r="I139" s="188"/>
      <c r="J139" s="188"/>
      <c r="K139" s="188"/>
      <c r="L139" s="188"/>
      <c r="M139" s="188"/>
    </row>
    <row r="140" spans="2:13">
      <c r="B140" s="187"/>
      <c r="C140" s="187"/>
      <c r="D140" s="188"/>
      <c r="E140" s="188"/>
      <c r="F140" s="188"/>
      <c r="G140" s="188"/>
      <c r="H140" s="188"/>
      <c r="I140" s="188"/>
      <c r="J140" s="188"/>
      <c r="K140" s="188"/>
      <c r="L140" s="188"/>
      <c r="M140" s="188"/>
    </row>
    <row r="141" spans="2:13">
      <c r="B141" s="187"/>
      <c r="C141" s="187"/>
      <c r="D141" s="188"/>
      <c r="E141" s="188"/>
      <c r="F141" s="188"/>
      <c r="G141" s="188"/>
      <c r="H141" s="188"/>
      <c r="I141" s="188"/>
      <c r="J141" s="188"/>
      <c r="K141" s="188"/>
      <c r="L141" s="188"/>
      <c r="M141" s="188"/>
    </row>
    <row r="142" spans="2:13">
      <c r="B142" s="187"/>
      <c r="C142" s="187"/>
      <c r="D142" s="188"/>
      <c r="E142" s="188"/>
      <c r="F142" s="188"/>
      <c r="G142" s="188"/>
      <c r="H142" s="188"/>
      <c r="I142" s="188"/>
      <c r="J142" s="188"/>
      <c r="K142" s="188"/>
      <c r="L142" s="188"/>
      <c r="M142" s="188"/>
    </row>
    <row r="143" spans="2:13">
      <c r="B143" s="187"/>
      <c r="C143" s="187"/>
      <c r="D143" s="188"/>
      <c r="E143" s="188"/>
      <c r="F143" s="188"/>
      <c r="G143" s="188"/>
      <c r="H143" s="188"/>
      <c r="I143" s="188"/>
      <c r="J143" s="188"/>
      <c r="K143" s="188"/>
      <c r="L143" s="188"/>
      <c r="M143" s="188"/>
    </row>
    <row r="144" spans="2:13">
      <c r="B144" s="187"/>
      <c r="C144" s="187"/>
      <c r="D144" s="188"/>
      <c r="E144" s="188"/>
      <c r="F144" s="188"/>
      <c r="G144" s="188"/>
      <c r="H144" s="188"/>
      <c r="I144" s="188"/>
      <c r="J144" s="188"/>
      <c r="K144" s="188"/>
      <c r="L144" s="188"/>
      <c r="M144" s="188"/>
    </row>
    <row r="145" spans="2:21">
      <c r="B145" s="187"/>
      <c r="C145" s="187"/>
      <c r="D145" s="188"/>
      <c r="E145" s="188"/>
      <c r="F145" s="188"/>
      <c r="G145" s="188"/>
      <c r="H145" s="188"/>
      <c r="I145" s="188"/>
      <c r="J145" s="188"/>
      <c r="K145" s="188"/>
      <c r="L145" s="188"/>
      <c r="M145" s="188"/>
    </row>
    <row r="146" spans="2:21">
      <c r="B146" s="187"/>
      <c r="C146" s="187"/>
      <c r="D146" s="188"/>
      <c r="E146" s="188"/>
      <c r="F146" s="188"/>
      <c r="G146" s="188"/>
      <c r="H146" s="188"/>
      <c r="I146" s="188"/>
      <c r="J146" s="188"/>
      <c r="K146" s="188"/>
      <c r="L146" s="188"/>
      <c r="M146" s="188"/>
    </row>
    <row r="147" spans="2:21">
      <c r="B147" s="187"/>
      <c r="C147" s="187"/>
      <c r="D147" s="188"/>
      <c r="E147" s="188"/>
      <c r="F147" s="188"/>
      <c r="G147" s="188"/>
      <c r="H147" s="188"/>
      <c r="I147" s="188"/>
      <c r="J147" s="188"/>
      <c r="K147" s="188"/>
      <c r="L147" s="188"/>
      <c r="M147" s="188"/>
    </row>
    <row r="148" spans="2:21">
      <c r="B148" s="187"/>
      <c r="C148" s="187"/>
      <c r="D148" s="188"/>
      <c r="E148" s="188"/>
      <c r="F148" s="188"/>
      <c r="G148" s="188"/>
      <c r="H148" s="188"/>
      <c r="I148" s="188"/>
      <c r="J148" s="188"/>
      <c r="K148" s="188"/>
      <c r="L148" s="188"/>
      <c r="M148" s="188"/>
    </row>
    <row r="149" spans="2:21">
      <c r="B149" s="191"/>
      <c r="C149" s="187"/>
      <c r="D149" s="192"/>
      <c r="E149" s="192"/>
      <c r="F149" s="192"/>
      <c r="G149" s="192"/>
      <c r="H149" s="192"/>
      <c r="I149" s="192"/>
      <c r="J149" s="192"/>
      <c r="K149" s="192"/>
      <c r="L149" s="192"/>
      <c r="M149" s="192"/>
    </row>
    <row r="150" spans="2:21">
      <c r="B150" s="187"/>
      <c r="C150" s="187"/>
      <c r="D150" s="193"/>
      <c r="E150" s="193"/>
      <c r="F150" s="193"/>
      <c r="G150" s="193"/>
      <c r="H150" s="193"/>
      <c r="I150" s="193"/>
      <c r="J150" s="193"/>
      <c r="K150" s="193"/>
      <c r="L150" s="193"/>
      <c r="M150" s="193"/>
    </row>
    <row r="151" spans="2:21">
      <c r="B151" s="187"/>
      <c r="C151" s="187"/>
      <c r="D151" s="193"/>
      <c r="E151" s="193"/>
      <c r="F151" s="193"/>
      <c r="G151" s="193"/>
      <c r="H151" s="193"/>
      <c r="I151" s="193"/>
      <c r="J151" s="193"/>
      <c r="K151" s="193"/>
      <c r="L151" s="193"/>
      <c r="M151" s="193"/>
    </row>
    <row r="152" spans="2:21">
      <c r="B152" s="187"/>
      <c r="C152" s="187"/>
      <c r="D152" s="193"/>
      <c r="E152" s="193"/>
      <c r="F152" s="193"/>
      <c r="G152" s="193"/>
      <c r="H152" s="193"/>
      <c r="I152" s="193"/>
      <c r="J152" s="193"/>
      <c r="K152" s="193"/>
      <c r="L152" s="193"/>
      <c r="M152" s="193"/>
    </row>
    <row r="153" spans="2:21">
      <c r="B153" s="187"/>
      <c r="C153" s="187"/>
      <c r="D153" s="193"/>
      <c r="E153" s="193"/>
      <c r="F153" s="193"/>
      <c r="G153" s="193"/>
      <c r="H153" s="193"/>
      <c r="I153" s="193"/>
      <c r="J153" s="193"/>
      <c r="K153" s="193"/>
      <c r="L153" s="193"/>
      <c r="M153" s="193"/>
    </row>
    <row r="154" spans="2:21">
      <c r="B154" s="187"/>
      <c r="C154" s="187"/>
      <c r="D154" s="193"/>
      <c r="E154" s="193"/>
      <c r="F154" s="193"/>
      <c r="G154" s="193"/>
      <c r="H154" s="193"/>
      <c r="I154" s="193"/>
      <c r="J154" s="193"/>
      <c r="K154" s="193"/>
      <c r="L154" s="193"/>
      <c r="M154" s="193"/>
    </row>
    <row r="155" spans="2:21">
      <c r="B155" s="187"/>
      <c r="C155" s="187"/>
      <c r="D155" s="193"/>
      <c r="E155" s="193"/>
      <c r="F155" s="193"/>
      <c r="G155" s="193"/>
      <c r="H155" s="193"/>
      <c r="I155" s="193"/>
      <c r="J155" s="193"/>
      <c r="K155" s="193"/>
      <c r="L155" s="193"/>
      <c r="M155" s="193"/>
      <c r="Q155" s="194"/>
    </row>
    <row r="156" spans="2:21">
      <c r="B156" s="187"/>
      <c r="C156" s="187"/>
      <c r="D156" s="193"/>
      <c r="E156" s="193"/>
      <c r="F156" s="193"/>
      <c r="G156" s="193"/>
      <c r="H156" s="193"/>
      <c r="I156" s="193"/>
      <c r="J156" s="193"/>
      <c r="K156" s="193"/>
      <c r="L156" s="193"/>
      <c r="M156" s="193"/>
      <c r="Q156" s="194"/>
      <c r="R156" s="188"/>
      <c r="S156" s="188"/>
      <c r="T156" s="188"/>
      <c r="U156" s="188"/>
    </row>
    <row r="157" spans="2:21">
      <c r="B157" s="187"/>
      <c r="C157" s="187"/>
      <c r="D157" s="193"/>
      <c r="E157" s="193"/>
      <c r="F157" s="193"/>
      <c r="G157" s="193"/>
      <c r="H157" s="193"/>
      <c r="I157" s="193"/>
      <c r="J157" s="193"/>
      <c r="K157" s="193"/>
      <c r="L157" s="193"/>
      <c r="M157" s="193"/>
      <c r="Q157" s="194"/>
      <c r="R157" s="194"/>
      <c r="S157" s="188"/>
      <c r="T157" s="188"/>
      <c r="U157" s="188"/>
    </row>
    <row r="158" spans="2:21">
      <c r="B158" s="187"/>
      <c r="C158" s="187"/>
      <c r="D158" s="193"/>
      <c r="E158" s="193"/>
      <c r="F158" s="193"/>
      <c r="G158" s="193"/>
      <c r="H158" s="193"/>
      <c r="I158" s="193"/>
      <c r="J158" s="193"/>
      <c r="K158" s="193"/>
      <c r="L158" s="193"/>
      <c r="M158" s="193"/>
      <c r="Q158" s="194"/>
      <c r="R158" s="194"/>
      <c r="S158" s="188"/>
      <c r="T158" s="188"/>
      <c r="U158" s="188"/>
    </row>
    <row r="159" spans="2:21">
      <c r="B159" s="187"/>
      <c r="C159" s="187"/>
      <c r="D159" s="193"/>
      <c r="E159" s="193"/>
      <c r="F159" s="193"/>
      <c r="G159" s="193"/>
      <c r="H159" s="193"/>
      <c r="I159" s="193"/>
      <c r="J159" s="193"/>
      <c r="K159" s="193"/>
      <c r="L159" s="193"/>
      <c r="M159" s="193"/>
      <c r="Q159" s="194"/>
      <c r="R159" s="194"/>
      <c r="S159" s="188"/>
      <c r="T159" s="188"/>
      <c r="U159" s="188"/>
    </row>
    <row r="160" spans="2:21">
      <c r="B160" s="187"/>
      <c r="C160" s="187"/>
      <c r="D160" s="193"/>
      <c r="E160" s="193"/>
      <c r="F160" s="193"/>
      <c r="G160" s="193"/>
      <c r="H160" s="193"/>
      <c r="I160" s="193"/>
      <c r="J160" s="193"/>
      <c r="K160" s="193"/>
      <c r="L160" s="193"/>
      <c r="M160" s="193"/>
      <c r="Q160" s="194"/>
      <c r="R160" s="194"/>
      <c r="S160" s="188"/>
      <c r="T160" s="188"/>
      <c r="U160" s="188"/>
    </row>
    <row r="161" spans="2:21">
      <c r="B161" s="187"/>
      <c r="C161" s="187"/>
      <c r="D161" s="193"/>
      <c r="E161" s="193"/>
      <c r="F161" s="193"/>
      <c r="G161" s="193"/>
      <c r="H161" s="193"/>
      <c r="I161" s="193"/>
      <c r="J161" s="193"/>
      <c r="K161" s="193"/>
      <c r="L161" s="193"/>
      <c r="M161" s="193"/>
      <c r="Q161" s="194"/>
      <c r="R161" s="194"/>
      <c r="S161" s="188"/>
      <c r="T161" s="188"/>
      <c r="U161" s="188"/>
    </row>
    <row r="162" spans="2:21">
      <c r="B162" s="187"/>
      <c r="C162" s="187"/>
      <c r="D162" s="193"/>
      <c r="E162" s="193"/>
      <c r="F162" s="193"/>
      <c r="G162" s="193"/>
      <c r="H162" s="193"/>
      <c r="I162" s="193"/>
      <c r="J162" s="193"/>
      <c r="K162" s="193"/>
      <c r="L162" s="193"/>
      <c r="M162" s="193"/>
      <c r="Q162" s="194"/>
      <c r="R162" s="194"/>
      <c r="S162" s="188"/>
      <c r="T162" s="188"/>
      <c r="U162" s="188"/>
    </row>
    <row r="163" spans="2:21">
      <c r="B163" s="187"/>
      <c r="C163" s="187"/>
      <c r="D163" s="193"/>
      <c r="E163" s="193"/>
      <c r="F163" s="193"/>
      <c r="G163" s="193"/>
      <c r="H163" s="193"/>
      <c r="I163" s="193"/>
      <c r="J163" s="193"/>
      <c r="K163" s="193"/>
      <c r="L163" s="193"/>
      <c r="M163" s="193"/>
      <c r="Q163" s="194"/>
      <c r="R163" s="194"/>
      <c r="S163" s="188"/>
      <c r="T163" s="188"/>
      <c r="U163" s="188"/>
    </row>
    <row r="164" spans="2:21">
      <c r="B164" s="191"/>
      <c r="C164" s="191"/>
      <c r="D164" s="195"/>
      <c r="E164" s="195"/>
      <c r="F164" s="195"/>
      <c r="G164" s="195"/>
      <c r="H164" s="195"/>
      <c r="I164" s="195"/>
      <c r="J164" s="195"/>
      <c r="K164" s="195"/>
      <c r="L164" s="195"/>
      <c r="M164" s="195"/>
      <c r="Q164" s="194"/>
      <c r="R164" s="194"/>
      <c r="S164" s="188"/>
      <c r="T164" s="188"/>
      <c r="U164" s="188"/>
    </row>
    <row r="165" spans="2:21">
      <c r="Q165" s="194"/>
      <c r="R165" s="194"/>
      <c r="S165" s="188"/>
      <c r="T165" s="188"/>
      <c r="U165" s="188"/>
    </row>
    <row r="166" spans="2:21">
      <c r="Q166" s="194"/>
      <c r="R166" s="194"/>
      <c r="S166" s="188"/>
      <c r="T166" s="188"/>
      <c r="U166" s="188"/>
    </row>
    <row r="167" spans="2:21">
      <c r="Q167" s="194"/>
      <c r="R167" s="194"/>
      <c r="S167" s="188"/>
      <c r="T167" s="188"/>
      <c r="U167" s="188"/>
    </row>
    <row r="168" spans="2:21">
      <c r="Q168" s="194"/>
      <c r="R168" s="194"/>
      <c r="S168" s="188"/>
      <c r="T168" s="188"/>
      <c r="U168" s="188"/>
    </row>
    <row r="169" spans="2:21">
      <c r="Q169" s="194"/>
      <c r="R169" s="194"/>
      <c r="S169" s="188"/>
      <c r="T169" s="188"/>
      <c r="U169" s="188"/>
    </row>
    <row r="170" spans="2:21">
      <c r="Q170" s="194"/>
      <c r="R170" s="194"/>
      <c r="S170" s="188"/>
      <c r="T170" s="188"/>
      <c r="U170" s="188"/>
    </row>
    <row r="171" spans="2:21">
      <c r="Q171" s="194"/>
      <c r="R171" s="194"/>
      <c r="S171" s="188"/>
      <c r="T171" s="188"/>
      <c r="U171" s="188"/>
    </row>
    <row r="172" spans="2:21">
      <c r="Q172" s="194"/>
      <c r="R172" s="194"/>
      <c r="S172" s="188"/>
      <c r="T172" s="188"/>
      <c r="U172" s="188"/>
    </row>
    <row r="173" spans="2:21">
      <c r="Q173" s="194"/>
      <c r="R173" s="194"/>
      <c r="S173" s="188"/>
      <c r="T173" s="188"/>
      <c r="U173" s="188"/>
    </row>
    <row r="174" spans="2:21">
      <c r="Q174" s="194"/>
      <c r="R174" s="194"/>
      <c r="S174" s="188"/>
      <c r="T174" s="188"/>
      <c r="U174" s="188"/>
    </row>
    <row r="175" spans="2:21">
      <c r="Q175" s="194"/>
      <c r="R175" s="194"/>
      <c r="S175" s="188"/>
      <c r="T175" s="188"/>
      <c r="U175" s="188"/>
    </row>
    <row r="176" spans="2:21">
      <c r="Q176" s="194"/>
      <c r="R176" s="194"/>
      <c r="S176" s="188"/>
      <c r="T176" s="188"/>
      <c r="U176" s="188"/>
    </row>
    <row r="177" spans="17:21">
      <c r="Q177" s="194"/>
      <c r="R177" s="194"/>
      <c r="S177" s="188"/>
      <c r="T177" s="188"/>
      <c r="U177" s="188"/>
    </row>
    <row r="178" spans="17:21">
      <c r="Q178" s="194"/>
      <c r="R178" s="194"/>
      <c r="S178" s="188"/>
      <c r="T178" s="188"/>
      <c r="U178" s="188"/>
    </row>
    <row r="179" spans="17:21">
      <c r="Q179" s="194"/>
      <c r="R179" s="194"/>
      <c r="S179" s="188"/>
      <c r="T179" s="188"/>
      <c r="U179" s="188"/>
    </row>
    <row r="180" spans="17:21">
      <c r="Q180" s="194"/>
      <c r="R180" s="194"/>
      <c r="S180" s="188"/>
      <c r="T180" s="188"/>
      <c r="U180" s="188"/>
    </row>
    <row r="181" spans="17:21">
      <c r="Q181" s="194"/>
      <c r="R181" s="194"/>
      <c r="S181" s="188"/>
      <c r="T181" s="188"/>
      <c r="U181" s="188"/>
    </row>
    <row r="182" spans="17:21">
      <c r="Q182" s="194"/>
      <c r="R182" s="194"/>
      <c r="S182" s="188"/>
      <c r="T182" s="188"/>
      <c r="U182" s="188"/>
    </row>
    <row r="183" spans="17:21">
      <c r="Q183" s="194"/>
      <c r="R183" s="194"/>
      <c r="S183" s="188"/>
      <c r="T183" s="188"/>
      <c r="U183" s="188"/>
    </row>
    <row r="184" spans="17:21">
      <c r="Q184" s="194"/>
      <c r="R184" s="194"/>
      <c r="S184" s="188"/>
      <c r="T184" s="188"/>
      <c r="U184" s="188"/>
    </row>
    <row r="185" spans="17:21">
      <c r="Q185" s="194"/>
      <c r="R185" s="188"/>
      <c r="S185" s="188"/>
      <c r="T185" s="188"/>
      <c r="U185" s="188"/>
    </row>
    <row r="186" spans="17:21">
      <c r="Q186" s="194"/>
      <c r="R186" s="194"/>
      <c r="S186" s="188"/>
      <c r="T186" s="188"/>
      <c r="U186" s="188"/>
    </row>
    <row r="187" spans="17:21">
      <c r="Q187" s="196"/>
      <c r="R187" s="194"/>
      <c r="S187" s="188"/>
      <c r="T187" s="188"/>
      <c r="U187" s="188"/>
    </row>
    <row r="188" spans="17:21">
      <c r="Q188" s="194"/>
      <c r="R188" s="196"/>
      <c r="S188" s="192"/>
      <c r="T188" s="192"/>
      <c r="U188" s="192"/>
    </row>
    <row r="189" spans="17:21">
      <c r="Q189" s="194"/>
      <c r="R189" s="188"/>
      <c r="S189" s="188"/>
      <c r="T189" s="188"/>
      <c r="U189" s="188"/>
    </row>
    <row r="190" spans="17:21">
      <c r="Q190" s="194"/>
      <c r="R190" s="194"/>
      <c r="S190" s="188"/>
      <c r="T190" s="188"/>
      <c r="U190" s="188"/>
    </row>
    <row r="191" spans="17:21">
      <c r="Q191" s="194"/>
      <c r="R191" s="194"/>
      <c r="S191" s="188"/>
      <c r="T191" s="188"/>
      <c r="U191" s="188"/>
    </row>
    <row r="192" spans="17:21">
      <c r="Q192" s="194"/>
      <c r="R192" s="194"/>
      <c r="S192" s="188"/>
      <c r="T192" s="188"/>
      <c r="U192" s="188"/>
    </row>
    <row r="193" spans="17:21">
      <c r="Q193" s="194"/>
      <c r="R193" s="194"/>
      <c r="S193" s="188"/>
      <c r="T193" s="188"/>
      <c r="U193" s="188"/>
    </row>
    <row r="194" spans="17:21">
      <c r="Q194" s="194"/>
      <c r="R194" s="194"/>
      <c r="S194" s="188"/>
      <c r="T194" s="188"/>
      <c r="U194" s="188"/>
    </row>
    <row r="195" spans="17:21">
      <c r="Q195" s="194"/>
      <c r="R195" s="194"/>
      <c r="S195" s="188"/>
      <c r="T195" s="188"/>
      <c r="U195" s="188"/>
    </row>
    <row r="196" spans="17:21">
      <c r="Q196" s="194"/>
      <c r="R196" s="194"/>
      <c r="S196" s="188"/>
      <c r="T196" s="188"/>
      <c r="U196" s="188"/>
    </row>
    <row r="197" spans="17:21">
      <c r="Q197" s="194"/>
      <c r="R197" s="194"/>
      <c r="S197" s="188"/>
      <c r="T197" s="188"/>
      <c r="U197" s="188"/>
    </row>
    <row r="198" spans="17:21">
      <c r="Q198" s="194"/>
      <c r="R198" s="194"/>
      <c r="S198" s="188"/>
      <c r="T198" s="188"/>
      <c r="U198" s="188"/>
    </row>
    <row r="199" spans="17:21">
      <c r="Q199" s="194"/>
      <c r="R199" s="194"/>
      <c r="S199" s="188"/>
      <c r="T199" s="188"/>
      <c r="U199" s="188"/>
    </row>
    <row r="200" spans="17:21">
      <c r="Q200" s="194"/>
      <c r="R200" s="194"/>
      <c r="S200" s="188"/>
      <c r="T200" s="188"/>
      <c r="U200" s="188"/>
    </row>
    <row r="201" spans="17:21">
      <c r="Q201" s="194"/>
      <c r="R201" s="194"/>
      <c r="S201" s="188"/>
      <c r="T201" s="188"/>
      <c r="U201" s="188"/>
    </row>
    <row r="202" spans="17:21">
      <c r="Q202" s="194"/>
      <c r="R202" s="194"/>
      <c r="S202" s="188"/>
      <c r="T202" s="188"/>
      <c r="U202" s="188"/>
    </row>
    <row r="203" spans="17:21">
      <c r="Q203" s="194"/>
      <c r="R203" s="194"/>
      <c r="S203" s="188"/>
      <c r="T203" s="188"/>
      <c r="U203" s="188"/>
    </row>
    <row r="204" spans="17:21">
      <c r="Q204" s="194"/>
      <c r="R204" s="194"/>
      <c r="S204" s="188"/>
      <c r="T204" s="188"/>
      <c r="U204" s="188"/>
    </row>
    <row r="205" spans="17:21">
      <c r="Q205" s="194"/>
      <c r="R205" s="194"/>
      <c r="S205" s="188"/>
      <c r="T205" s="188"/>
      <c r="U205" s="188"/>
    </row>
    <row r="206" spans="17:21">
      <c r="Q206" s="194"/>
      <c r="R206" s="194"/>
      <c r="S206" s="188"/>
      <c r="T206" s="188"/>
      <c r="U206" s="188"/>
    </row>
    <row r="207" spans="17:21">
      <c r="Q207" s="194"/>
      <c r="R207" s="194"/>
      <c r="S207" s="188"/>
      <c r="T207" s="188"/>
      <c r="U207" s="188"/>
    </row>
    <row r="208" spans="17:21">
      <c r="Q208" s="194"/>
      <c r="R208" s="194"/>
      <c r="S208" s="188"/>
      <c r="T208" s="188"/>
      <c r="U208" s="188"/>
    </row>
    <row r="209" spans="17:21">
      <c r="Q209" s="194"/>
      <c r="R209" s="194"/>
      <c r="S209" s="188"/>
      <c r="T209" s="188"/>
      <c r="U209" s="188"/>
    </row>
    <row r="210" spans="17:21">
      <c r="Q210" s="194"/>
      <c r="R210" s="194"/>
      <c r="S210" s="188"/>
      <c r="T210" s="188"/>
      <c r="U210" s="188"/>
    </row>
    <row r="211" spans="17:21">
      <c r="Q211" s="194"/>
      <c r="R211" s="194"/>
      <c r="S211" s="188"/>
      <c r="T211" s="188"/>
      <c r="U211" s="188"/>
    </row>
    <row r="212" spans="17:21">
      <c r="Q212" s="194"/>
      <c r="R212" s="194"/>
      <c r="S212" s="188"/>
      <c r="T212" s="188"/>
      <c r="U212" s="188"/>
    </row>
    <row r="213" spans="17:21">
      <c r="Q213" s="194"/>
      <c r="R213" s="194"/>
      <c r="S213" s="188"/>
      <c r="T213" s="188"/>
      <c r="U213" s="188"/>
    </row>
    <row r="214" spans="17:21">
      <c r="Q214" s="194"/>
      <c r="R214" s="194"/>
      <c r="S214" s="188"/>
      <c r="T214" s="188"/>
      <c r="U214" s="188"/>
    </row>
    <row r="215" spans="17:21">
      <c r="Q215" s="194"/>
      <c r="R215" s="194"/>
      <c r="S215" s="188"/>
      <c r="T215" s="188"/>
      <c r="U215" s="188"/>
    </row>
    <row r="216" spans="17:21">
      <c r="Q216" s="194"/>
      <c r="R216" s="194"/>
      <c r="S216" s="188"/>
      <c r="T216" s="188"/>
      <c r="U216" s="188"/>
    </row>
    <row r="217" spans="17:21">
      <c r="Q217" s="194"/>
      <c r="R217" s="194"/>
      <c r="S217" s="188"/>
      <c r="T217" s="188"/>
      <c r="U217" s="188"/>
    </row>
    <row r="218" spans="17:21">
      <c r="Q218" s="194"/>
      <c r="R218" s="194"/>
      <c r="S218" s="188"/>
      <c r="T218" s="188"/>
      <c r="U218" s="188"/>
    </row>
    <row r="219" spans="17:21">
      <c r="Q219" s="194"/>
      <c r="R219" s="194"/>
      <c r="S219" s="188"/>
      <c r="T219" s="188"/>
      <c r="U219" s="188"/>
    </row>
    <row r="220" spans="17:21">
      <c r="Q220" s="194"/>
      <c r="R220" s="194"/>
      <c r="S220" s="188"/>
      <c r="T220" s="188"/>
      <c r="U220" s="188"/>
    </row>
    <row r="221" spans="17:21">
      <c r="Q221" s="194"/>
      <c r="R221" s="194"/>
      <c r="S221" s="188"/>
      <c r="T221" s="188"/>
      <c r="U221" s="188"/>
    </row>
    <row r="222" spans="17:21">
      <c r="Q222" s="194"/>
      <c r="R222" s="194"/>
      <c r="S222" s="188"/>
      <c r="T222" s="188"/>
      <c r="U222" s="188"/>
    </row>
    <row r="223" spans="17:21">
      <c r="Q223" s="194"/>
      <c r="R223" s="194"/>
      <c r="S223" s="188"/>
      <c r="T223" s="188"/>
      <c r="U223" s="188"/>
    </row>
    <row r="224" spans="17:21">
      <c r="Q224" s="194"/>
      <c r="R224" s="194"/>
      <c r="S224" s="188"/>
      <c r="T224" s="188"/>
      <c r="U224" s="188"/>
    </row>
    <row r="225" spans="17:21">
      <c r="Q225" s="194"/>
      <c r="R225" s="194"/>
      <c r="S225" s="188"/>
      <c r="T225" s="188"/>
      <c r="U225" s="188"/>
    </row>
    <row r="226" spans="17:21">
      <c r="Q226" s="194"/>
      <c r="R226" s="194"/>
      <c r="S226" s="188"/>
      <c r="T226" s="188"/>
      <c r="U226" s="188"/>
    </row>
    <row r="227" spans="17:21">
      <c r="Q227" s="194"/>
      <c r="R227" s="194"/>
      <c r="S227" s="188"/>
      <c r="T227" s="188"/>
      <c r="U227" s="188"/>
    </row>
    <row r="228" spans="17:21">
      <c r="Q228" s="194"/>
      <c r="R228" s="194"/>
      <c r="S228" s="188"/>
      <c r="T228" s="188"/>
      <c r="U228" s="188"/>
    </row>
    <row r="229" spans="17:21">
      <c r="Q229" s="196"/>
      <c r="R229" s="194"/>
      <c r="S229" s="188"/>
      <c r="T229" s="188"/>
      <c r="U229" s="188"/>
    </row>
    <row r="230" spans="17:21">
      <c r="R230" s="196"/>
      <c r="S230" s="192"/>
      <c r="T230" s="192"/>
      <c r="U230" s="192"/>
    </row>
  </sheetData>
  <mergeCells count="2">
    <mergeCell ref="B5:C5"/>
    <mergeCell ref="Q5:R5"/>
  </mergeCells>
  <pageMargins left="0.7" right="0.7" top="0.75" bottom="0.75" header="0.3" footer="0.3"/>
  <pageSetup orientation="portrait" r:id="rId1"/>
  <ignoredErrors>
    <ignoredError sqref="T17:U17 V25" formulaRange="1"/>
    <ignoredError sqref="G19 V19:W19 X19:Z19" formula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6B07-3879-403E-A692-28C9A431E73C}">
  <dimension ref="B1:Z63"/>
  <sheetViews>
    <sheetView showGridLines="0" zoomScaleNormal="100" workbookViewId="0">
      <selection activeCell="X43" sqref="X43"/>
    </sheetView>
  </sheetViews>
  <sheetFormatPr baseColWidth="10" defaultColWidth="9.1640625" defaultRowHeight="15"/>
  <cols>
    <col min="1" max="1" width="1.6640625" style="18" customWidth="1"/>
    <col min="2" max="2" width="12.6640625" style="18" customWidth="1"/>
    <col min="3" max="3" width="42.6640625" style="18" customWidth="1"/>
    <col min="4" max="15" width="12.6640625" style="18" customWidth="1"/>
    <col min="16" max="16" width="3.6640625" style="18" customWidth="1"/>
    <col min="17" max="17" width="12.6640625" style="18" customWidth="1"/>
    <col min="18" max="18" width="42.6640625" style="18" customWidth="1"/>
    <col min="19" max="26" width="12.6640625" style="18" customWidth="1"/>
    <col min="27" max="27" width="3.6640625" style="18" customWidth="1"/>
    <col min="28" max="16384" width="9.1640625" style="18"/>
  </cols>
  <sheetData>
    <row r="1" spans="2:26" ht="26">
      <c r="B1" s="2" t="s">
        <v>86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6" t="s">
        <v>34</v>
      </c>
      <c r="Q1" s="2" t="s">
        <v>86</v>
      </c>
      <c r="R1" s="1"/>
      <c r="S1" s="1"/>
      <c r="T1" s="1"/>
      <c r="U1" s="1"/>
      <c r="V1" s="1"/>
      <c r="W1" s="1"/>
      <c r="X1" s="1"/>
      <c r="Y1" s="1"/>
      <c r="Z1" s="6" t="s">
        <v>34</v>
      </c>
    </row>
    <row r="2" spans="2:26" ht="21">
      <c r="B2" s="3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7" t="s">
        <v>45</v>
      </c>
      <c r="Q2" s="3" t="s">
        <v>0</v>
      </c>
      <c r="R2" s="1"/>
      <c r="S2" s="1"/>
      <c r="T2" s="1"/>
      <c r="U2" s="1"/>
      <c r="V2" s="1"/>
      <c r="W2" s="1"/>
      <c r="X2" s="1"/>
      <c r="Y2" s="1"/>
      <c r="Z2" s="7" t="s">
        <v>45</v>
      </c>
    </row>
    <row r="3" spans="2:26">
      <c r="B3" s="4" t="s">
        <v>83</v>
      </c>
      <c r="C3" s="1"/>
      <c r="D3" s="1"/>
      <c r="E3" s="1"/>
      <c r="F3" s="1"/>
      <c r="G3" s="1"/>
      <c r="H3" s="1"/>
      <c r="I3" s="1"/>
      <c r="J3" s="1"/>
      <c r="K3" s="1"/>
      <c r="L3" s="1"/>
      <c r="M3" s="4"/>
      <c r="N3" s="5"/>
      <c r="O3" s="5" t="s">
        <v>1</v>
      </c>
      <c r="Q3" s="4" t="s">
        <v>83</v>
      </c>
      <c r="R3" s="1"/>
      <c r="S3" s="1"/>
      <c r="T3" s="1"/>
      <c r="U3" s="1"/>
      <c r="V3" s="1"/>
      <c r="W3" s="1"/>
      <c r="X3" s="1"/>
      <c r="Y3" s="1"/>
      <c r="Z3" s="5" t="s">
        <v>1</v>
      </c>
    </row>
    <row r="4" spans="2:26" ht="16" thickBot="1">
      <c r="B4" s="172"/>
    </row>
    <row r="5" spans="2:26" ht="16" thickBot="1">
      <c r="B5" s="479" t="s">
        <v>45</v>
      </c>
      <c r="C5" s="479"/>
      <c r="D5" s="157" t="s">
        <v>2</v>
      </c>
      <c r="E5" s="157" t="s">
        <v>3</v>
      </c>
      <c r="F5" s="157" t="s">
        <v>4</v>
      </c>
      <c r="G5" s="157" t="s">
        <v>5</v>
      </c>
      <c r="H5" s="157" t="s">
        <v>6</v>
      </c>
      <c r="I5" s="157" t="s">
        <v>7</v>
      </c>
      <c r="J5" s="157" t="s">
        <v>8</v>
      </c>
      <c r="K5" s="157" t="s">
        <v>9</v>
      </c>
      <c r="L5" s="157" t="s">
        <v>10</v>
      </c>
      <c r="M5" s="157" t="s">
        <v>11</v>
      </c>
      <c r="N5" s="157" t="s">
        <v>12</v>
      </c>
      <c r="O5" s="158" t="s">
        <v>13</v>
      </c>
      <c r="Q5" s="479" t="s">
        <v>45</v>
      </c>
      <c r="R5" s="479"/>
      <c r="S5" s="157" t="s">
        <v>36</v>
      </c>
      <c r="T5" s="157" t="s">
        <v>37</v>
      </c>
      <c r="U5" s="157" t="s">
        <v>38</v>
      </c>
      <c r="V5" s="158" t="s">
        <v>39</v>
      </c>
      <c r="W5" s="157" t="s">
        <v>40</v>
      </c>
      <c r="X5" s="157" t="s">
        <v>41</v>
      </c>
      <c r="Y5" s="157" t="s">
        <v>42</v>
      </c>
      <c r="Z5" s="157" t="s">
        <v>43</v>
      </c>
    </row>
    <row r="6" spans="2:26">
      <c r="B6" s="19" t="s">
        <v>46</v>
      </c>
      <c r="C6" s="1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60"/>
      <c r="O6" s="161"/>
      <c r="Q6" s="19" t="s">
        <v>46</v>
      </c>
      <c r="U6" s="211"/>
      <c r="V6" s="212"/>
    </row>
    <row r="7" spans="2:26">
      <c r="B7" s="164" t="s">
        <v>47</v>
      </c>
      <c r="D7" s="213"/>
      <c r="E7" s="213"/>
      <c r="F7" s="213"/>
      <c r="G7" s="213"/>
      <c r="H7" s="213"/>
      <c r="I7" s="213"/>
      <c r="J7" s="213"/>
      <c r="K7" s="213"/>
      <c r="L7" s="213"/>
      <c r="M7" s="213"/>
      <c r="N7" s="214"/>
      <c r="O7" s="215"/>
      <c r="Q7" s="164" t="s">
        <v>47</v>
      </c>
      <c r="U7" s="216"/>
      <c r="V7" s="212"/>
    </row>
    <row r="8" spans="2:26">
      <c r="B8" s="217" t="s">
        <v>48</v>
      </c>
      <c r="D8" s="213">
        <v>8307</v>
      </c>
      <c r="E8" s="213">
        <v>144433</v>
      </c>
      <c r="F8" s="213">
        <v>103454</v>
      </c>
      <c r="G8" s="213">
        <v>172680</v>
      </c>
      <c r="H8" s="213">
        <v>121497</v>
      </c>
      <c r="I8" s="213">
        <v>199192</v>
      </c>
      <c r="J8" s="213">
        <v>439794</v>
      </c>
      <c r="K8" s="213">
        <v>78861</v>
      </c>
      <c r="L8" s="213">
        <v>85321</v>
      </c>
      <c r="M8" s="213">
        <v>40200</v>
      </c>
      <c r="N8" s="214">
        <v>94943</v>
      </c>
      <c r="O8" s="215"/>
      <c r="Q8" s="217" t="s">
        <v>48</v>
      </c>
      <c r="S8" s="213">
        <v>103454</v>
      </c>
      <c r="T8" s="213">
        <v>172680</v>
      </c>
      <c r="U8" s="213">
        <v>78861</v>
      </c>
      <c r="V8" s="212"/>
    </row>
    <row r="9" spans="2:26">
      <c r="B9" s="217" t="s">
        <v>49</v>
      </c>
      <c r="D9" s="213">
        <v>11488</v>
      </c>
      <c r="E9" s="213">
        <v>10339</v>
      </c>
      <c r="F9" s="213">
        <v>11755</v>
      </c>
      <c r="G9" s="213">
        <v>14443</v>
      </c>
      <c r="H9" s="213">
        <v>18428</v>
      </c>
      <c r="I9" s="213">
        <v>18356</v>
      </c>
      <c r="J9" s="213">
        <v>18471</v>
      </c>
      <c r="K9" s="213">
        <v>9848</v>
      </c>
      <c r="L9" s="213">
        <v>21734</v>
      </c>
      <c r="M9" s="213">
        <v>2196</v>
      </c>
      <c r="N9" s="214">
        <v>13531</v>
      </c>
      <c r="O9" s="215"/>
      <c r="Q9" s="217" t="s">
        <v>49</v>
      </c>
      <c r="S9" s="213">
        <v>11755</v>
      </c>
      <c r="T9" s="213">
        <v>14443</v>
      </c>
      <c r="U9" s="213">
        <v>9848</v>
      </c>
      <c r="V9" s="212"/>
    </row>
    <row r="10" spans="2:26">
      <c r="B10" s="217" t="s">
        <v>50</v>
      </c>
      <c r="C10" s="19"/>
      <c r="D10" s="213">
        <v>8023</v>
      </c>
      <c r="E10" s="213">
        <v>13759</v>
      </c>
      <c r="F10" s="213">
        <v>11639</v>
      </c>
      <c r="G10" s="213">
        <v>14105</v>
      </c>
      <c r="H10" s="213">
        <v>20969</v>
      </c>
      <c r="I10" s="213">
        <v>23573</v>
      </c>
      <c r="J10" s="213">
        <v>23498</v>
      </c>
      <c r="K10" s="213">
        <v>33120</v>
      </c>
      <c r="L10" s="213">
        <v>38179</v>
      </c>
      <c r="M10" s="213">
        <v>42128</v>
      </c>
      <c r="N10" s="214">
        <v>59043</v>
      </c>
      <c r="O10" s="215"/>
      <c r="Q10" s="217" t="s">
        <v>50</v>
      </c>
      <c r="S10" s="213">
        <v>11639</v>
      </c>
      <c r="T10" s="213">
        <v>14105</v>
      </c>
      <c r="U10" s="213">
        <v>33120</v>
      </c>
      <c r="V10" s="212"/>
    </row>
    <row r="11" spans="2:26">
      <c r="B11" s="218" t="s">
        <v>51</v>
      </c>
      <c r="D11" s="213">
        <v>24951</v>
      </c>
      <c r="E11" s="213">
        <v>24049</v>
      </c>
      <c r="F11" s="213">
        <v>37519</v>
      </c>
      <c r="G11" s="213">
        <v>45564</v>
      </c>
      <c r="H11" s="213">
        <v>62490</v>
      </c>
      <c r="I11" s="213">
        <v>77128</v>
      </c>
      <c r="J11" s="213">
        <v>88151</v>
      </c>
      <c r="K11" s="213">
        <v>105200</v>
      </c>
      <c r="L11" s="213">
        <v>151186</v>
      </c>
      <c r="M11" s="213">
        <v>177705</v>
      </c>
      <c r="N11" s="214">
        <v>180856</v>
      </c>
      <c r="O11" s="215"/>
      <c r="Q11" s="218" t="s">
        <v>51</v>
      </c>
      <c r="S11" s="213">
        <v>37519</v>
      </c>
      <c r="T11" s="213">
        <v>45564</v>
      </c>
      <c r="U11" s="213">
        <v>105200</v>
      </c>
      <c r="V11" s="212"/>
    </row>
    <row r="12" spans="2:26">
      <c r="B12" s="217" t="s">
        <v>52</v>
      </c>
      <c r="C12" s="19"/>
      <c r="D12" s="213">
        <v>199882</v>
      </c>
      <c r="E12" s="213">
        <v>174369</v>
      </c>
      <c r="F12" s="213">
        <v>192242</v>
      </c>
      <c r="G12" s="213">
        <v>227446</v>
      </c>
      <c r="H12" s="213">
        <v>299780</v>
      </c>
      <c r="I12" s="213">
        <v>302989</v>
      </c>
      <c r="J12" s="213">
        <v>339005</v>
      </c>
      <c r="K12" s="213">
        <v>412243</v>
      </c>
      <c r="L12" s="213">
        <v>525694</v>
      </c>
      <c r="M12" s="213">
        <v>606534</v>
      </c>
      <c r="N12" s="214">
        <v>629798</v>
      </c>
      <c r="O12" s="215"/>
      <c r="Q12" s="217" t="s">
        <v>52</v>
      </c>
      <c r="S12" s="213">
        <v>192242</v>
      </c>
      <c r="T12" s="213">
        <v>227446</v>
      </c>
      <c r="U12" s="213">
        <v>412243</v>
      </c>
      <c r="V12" s="212"/>
    </row>
    <row r="13" spans="2:26">
      <c r="B13" s="217" t="s">
        <v>53</v>
      </c>
      <c r="D13" s="213">
        <v>0</v>
      </c>
      <c r="E13" s="213">
        <v>0</v>
      </c>
      <c r="F13" s="213">
        <v>0</v>
      </c>
      <c r="G13" s="213">
        <v>0</v>
      </c>
      <c r="H13" s="213"/>
      <c r="I13" s="213">
        <v>0</v>
      </c>
      <c r="J13" s="213">
        <v>0</v>
      </c>
      <c r="K13" s="213">
        <v>0</v>
      </c>
      <c r="L13" s="213">
        <v>19531</v>
      </c>
      <c r="M13" s="213">
        <v>45192</v>
      </c>
      <c r="N13" s="214">
        <v>75832</v>
      </c>
      <c r="O13" s="215"/>
      <c r="Q13" s="217" t="s">
        <v>53</v>
      </c>
      <c r="S13" s="213">
        <v>0</v>
      </c>
      <c r="T13" s="213">
        <v>0</v>
      </c>
      <c r="U13" s="213">
        <v>0</v>
      </c>
      <c r="V13" s="212"/>
    </row>
    <row r="14" spans="2:26" ht="18">
      <c r="B14" s="217" t="s">
        <v>54</v>
      </c>
      <c r="C14" s="219"/>
      <c r="D14" s="168">
        <v>12522</v>
      </c>
      <c r="E14" s="168">
        <v>9914</v>
      </c>
      <c r="F14" s="168">
        <v>9598</v>
      </c>
      <c r="G14" s="168">
        <v>15480</v>
      </c>
      <c r="H14" s="168">
        <v>18159</v>
      </c>
      <c r="I14" s="168">
        <v>22255</v>
      </c>
      <c r="J14" s="168">
        <v>26446</v>
      </c>
      <c r="K14" s="168">
        <v>23582</v>
      </c>
      <c r="L14" s="168">
        <v>35141</v>
      </c>
      <c r="M14" s="168">
        <v>43587</v>
      </c>
      <c r="N14" s="169">
        <v>43955</v>
      </c>
      <c r="O14" s="170"/>
      <c r="Q14" s="217" t="s">
        <v>54</v>
      </c>
      <c r="S14" s="168">
        <v>9598</v>
      </c>
      <c r="T14" s="168">
        <v>15480</v>
      </c>
      <c r="U14" s="168">
        <v>23582</v>
      </c>
      <c r="V14" s="212"/>
    </row>
    <row r="15" spans="2:26">
      <c r="B15" s="220" t="s">
        <v>55</v>
      </c>
      <c r="D15" s="159">
        <f t="shared" ref="D15:N15" si="0">SUM(D8:D14)</f>
        <v>265173</v>
      </c>
      <c r="E15" s="159">
        <f t="shared" si="0"/>
        <v>376863</v>
      </c>
      <c r="F15" s="159">
        <f t="shared" si="0"/>
        <v>366207</v>
      </c>
      <c r="G15" s="159">
        <f t="shared" si="0"/>
        <v>489718</v>
      </c>
      <c r="H15" s="159">
        <f t="shared" si="0"/>
        <v>541323</v>
      </c>
      <c r="I15" s="159">
        <f t="shared" si="0"/>
        <v>643493</v>
      </c>
      <c r="J15" s="159">
        <f t="shared" si="0"/>
        <v>935365</v>
      </c>
      <c r="K15" s="159">
        <f t="shared" si="0"/>
        <v>662854</v>
      </c>
      <c r="L15" s="159">
        <f t="shared" si="0"/>
        <v>876786</v>
      </c>
      <c r="M15" s="159">
        <f t="shared" si="0"/>
        <v>957542</v>
      </c>
      <c r="N15" s="159">
        <f t="shared" si="0"/>
        <v>1097958</v>
      </c>
      <c r="O15" s="161"/>
      <c r="P15" s="19"/>
      <c r="Q15" s="220" t="s">
        <v>55</v>
      </c>
      <c r="R15" s="19"/>
      <c r="S15" s="159">
        <f>SUM(S8:S14)</f>
        <v>366207</v>
      </c>
      <c r="T15" s="159">
        <f>SUM(T8:T14)</f>
        <v>489718</v>
      </c>
      <c r="U15" s="159">
        <f>SUM(U8:U14)</f>
        <v>662854</v>
      </c>
      <c r="V15" s="163"/>
      <c r="W15" s="19"/>
      <c r="X15" s="19"/>
      <c r="Y15" s="19"/>
      <c r="Z15" s="19"/>
    </row>
    <row r="16" spans="2:26">
      <c r="B16" s="217" t="s">
        <v>56</v>
      </c>
      <c r="C16" s="19"/>
      <c r="D16" s="213">
        <v>80974</v>
      </c>
      <c r="E16" s="213">
        <v>106127</v>
      </c>
      <c r="F16" s="213">
        <v>125996</v>
      </c>
      <c r="G16" s="213">
        <v>148681</v>
      </c>
      <c r="H16" s="213">
        <v>176259</v>
      </c>
      <c r="I16" s="213">
        <v>217414</v>
      </c>
      <c r="J16" s="213">
        <v>251942</v>
      </c>
      <c r="K16" s="213">
        <v>296839</v>
      </c>
      <c r="L16" s="213">
        <v>353486</v>
      </c>
      <c r="M16" s="213">
        <v>392240</v>
      </c>
      <c r="N16" s="214">
        <v>457157</v>
      </c>
      <c r="O16" s="215"/>
      <c r="Q16" s="217" t="s">
        <v>56</v>
      </c>
      <c r="S16" s="213">
        <v>125996</v>
      </c>
      <c r="T16" s="213">
        <v>148681</v>
      </c>
      <c r="U16" s="213">
        <v>296839</v>
      </c>
      <c r="V16" s="212"/>
    </row>
    <row r="17" spans="2:26">
      <c r="B17" s="217" t="s">
        <v>57</v>
      </c>
      <c r="D17" s="213">
        <v>0</v>
      </c>
      <c r="E17" s="213">
        <v>0</v>
      </c>
      <c r="F17" s="213">
        <v>0</v>
      </c>
      <c r="G17" s="213">
        <v>0</v>
      </c>
      <c r="H17" s="213"/>
      <c r="I17" s="213">
        <v>0</v>
      </c>
      <c r="J17" s="213">
        <v>0</v>
      </c>
      <c r="K17" s="213">
        <v>0</v>
      </c>
      <c r="L17" s="213">
        <v>77754</v>
      </c>
      <c r="M17" s="213">
        <v>91607</v>
      </c>
      <c r="N17" s="214">
        <v>95388</v>
      </c>
      <c r="O17" s="215"/>
      <c r="Q17" s="217" t="s">
        <v>57</v>
      </c>
      <c r="S17" s="213">
        <v>0</v>
      </c>
      <c r="T17" s="213">
        <v>0</v>
      </c>
      <c r="U17" s="213">
        <v>0</v>
      </c>
      <c r="V17" s="212"/>
    </row>
    <row r="18" spans="2:26">
      <c r="B18" s="217" t="s">
        <v>58</v>
      </c>
      <c r="D18" s="213">
        <v>0</v>
      </c>
      <c r="E18" s="213">
        <v>0</v>
      </c>
      <c r="F18" s="213">
        <v>0</v>
      </c>
      <c r="G18" s="213">
        <v>0</v>
      </c>
      <c r="H18" s="213"/>
      <c r="I18" s="213">
        <v>9616</v>
      </c>
      <c r="J18" s="213">
        <v>9243</v>
      </c>
      <c r="K18" s="213">
        <v>8869</v>
      </c>
      <c r="L18" s="213">
        <v>8496</v>
      </c>
      <c r="M18" s="213">
        <v>8096</v>
      </c>
      <c r="N18" s="214">
        <v>7680</v>
      </c>
      <c r="O18" s="215"/>
      <c r="Q18" s="217" t="s">
        <v>58</v>
      </c>
      <c r="S18" s="213">
        <v>0</v>
      </c>
      <c r="T18" s="213">
        <v>0</v>
      </c>
      <c r="U18" s="213">
        <v>8869</v>
      </c>
      <c r="V18" s="212"/>
    </row>
    <row r="19" spans="2:26">
      <c r="B19" s="217" t="s">
        <v>59</v>
      </c>
      <c r="D19" s="213">
        <v>0</v>
      </c>
      <c r="E19" s="213">
        <v>0</v>
      </c>
      <c r="F19" s="213">
        <v>0</v>
      </c>
      <c r="G19" s="213">
        <v>0</v>
      </c>
      <c r="H19" s="213"/>
      <c r="I19" s="213">
        <v>6868</v>
      </c>
      <c r="J19" s="213">
        <v>9353</v>
      </c>
      <c r="K19" s="213">
        <v>9353</v>
      </c>
      <c r="L19" s="213">
        <v>9353</v>
      </c>
      <c r="M19" s="213">
        <v>9353</v>
      </c>
      <c r="N19" s="214">
        <v>9353</v>
      </c>
      <c r="O19" s="215"/>
      <c r="Q19" s="217" t="s">
        <v>59</v>
      </c>
      <c r="S19" s="213">
        <v>0</v>
      </c>
      <c r="T19" s="213">
        <v>0</v>
      </c>
      <c r="U19" s="213">
        <v>9353</v>
      </c>
      <c r="V19" s="212"/>
    </row>
    <row r="20" spans="2:26" ht="18">
      <c r="B20" s="217" t="s">
        <v>60</v>
      </c>
      <c r="C20" s="221"/>
      <c r="D20" s="222">
        <v>2856</v>
      </c>
      <c r="E20" s="222">
        <v>1893</v>
      </c>
      <c r="F20" s="222">
        <v>2969</v>
      </c>
      <c r="G20" s="222">
        <v>2738</v>
      </c>
      <c r="H20" s="222">
        <v>3152</v>
      </c>
      <c r="I20" s="222">
        <v>4372</v>
      </c>
      <c r="J20" s="168">
        <v>6200</v>
      </c>
      <c r="K20" s="222">
        <v>13098</v>
      </c>
      <c r="L20" s="222">
        <v>12526</v>
      </c>
      <c r="M20" s="222">
        <v>15566</v>
      </c>
      <c r="N20" s="223">
        <v>16785</v>
      </c>
      <c r="O20" s="224"/>
      <c r="P20" s="185"/>
      <c r="Q20" s="217" t="s">
        <v>60</v>
      </c>
      <c r="R20" s="185"/>
      <c r="S20" s="222">
        <v>2969</v>
      </c>
      <c r="T20" s="222">
        <v>2738</v>
      </c>
      <c r="U20" s="222">
        <v>13098</v>
      </c>
      <c r="V20" s="225"/>
      <c r="W20" s="185"/>
      <c r="X20" s="185"/>
      <c r="Y20" s="185"/>
      <c r="Z20" s="185"/>
    </row>
    <row r="21" spans="2:26">
      <c r="B21" s="220" t="s">
        <v>61</v>
      </c>
      <c r="C21" s="19"/>
      <c r="D21" s="159">
        <f t="shared" ref="D21:N21" si="1">SUM(D15:D20)</f>
        <v>349003</v>
      </c>
      <c r="E21" s="159">
        <f t="shared" si="1"/>
        <v>484883</v>
      </c>
      <c r="F21" s="159">
        <f t="shared" si="1"/>
        <v>495172</v>
      </c>
      <c r="G21" s="159">
        <f t="shared" si="1"/>
        <v>641137</v>
      </c>
      <c r="H21" s="159">
        <f t="shared" si="1"/>
        <v>720734</v>
      </c>
      <c r="I21" s="159">
        <f t="shared" si="1"/>
        <v>881763</v>
      </c>
      <c r="J21" s="159">
        <f t="shared" si="1"/>
        <v>1212103</v>
      </c>
      <c r="K21" s="159">
        <f t="shared" si="1"/>
        <v>991013</v>
      </c>
      <c r="L21" s="159">
        <f t="shared" si="1"/>
        <v>1338401</v>
      </c>
      <c r="M21" s="159">
        <f t="shared" si="1"/>
        <v>1474404</v>
      </c>
      <c r="N21" s="159">
        <f t="shared" si="1"/>
        <v>1684321</v>
      </c>
      <c r="O21" s="161"/>
      <c r="P21" s="19"/>
      <c r="Q21" s="220" t="s">
        <v>61</v>
      </c>
      <c r="R21" s="19"/>
      <c r="S21" s="159">
        <f>SUM(S15:S20)</f>
        <v>495172</v>
      </c>
      <c r="T21" s="159">
        <f>SUM(T15:T20)</f>
        <v>641137</v>
      </c>
      <c r="U21" s="159">
        <f>SUM(U15:U20)</f>
        <v>991013</v>
      </c>
      <c r="V21" s="163"/>
      <c r="W21" s="19"/>
      <c r="X21" s="19"/>
      <c r="Y21" s="19"/>
      <c r="Z21" s="19"/>
    </row>
    <row r="22" spans="2:26">
      <c r="B22" s="226" t="s">
        <v>62</v>
      </c>
      <c r="D22" s="213"/>
      <c r="E22" s="213"/>
      <c r="F22" s="213"/>
      <c r="G22" s="213"/>
      <c r="H22" s="213"/>
      <c r="I22" s="213"/>
      <c r="J22" s="213"/>
      <c r="K22" s="213"/>
      <c r="L22" s="213"/>
      <c r="M22" s="213"/>
      <c r="N22" s="214"/>
      <c r="O22" s="215"/>
      <c r="Q22" s="226" t="s">
        <v>62</v>
      </c>
      <c r="S22" s="213"/>
      <c r="T22" s="213"/>
      <c r="U22" s="213"/>
      <c r="V22" s="212"/>
    </row>
    <row r="23" spans="2:26">
      <c r="B23" s="164" t="s">
        <v>63</v>
      </c>
      <c r="C23" s="19"/>
      <c r="D23" s="213"/>
      <c r="E23" s="213"/>
      <c r="F23" s="213"/>
      <c r="G23" s="213"/>
      <c r="H23" s="213"/>
      <c r="I23" s="213"/>
      <c r="J23" s="213"/>
      <c r="K23" s="213"/>
      <c r="L23" s="213"/>
      <c r="M23" s="213"/>
      <c r="N23" s="214"/>
      <c r="O23" s="215"/>
      <c r="Q23" s="164" t="s">
        <v>63</v>
      </c>
      <c r="S23" s="213"/>
      <c r="T23" s="213"/>
      <c r="U23" s="213"/>
      <c r="V23" s="212"/>
    </row>
    <row r="24" spans="2:26">
      <c r="B24" s="217" t="s">
        <v>64</v>
      </c>
      <c r="D24" s="213">
        <v>29068</v>
      </c>
      <c r="E24" s="213">
        <v>32955</v>
      </c>
      <c r="F24" s="213">
        <v>43813</v>
      </c>
      <c r="G24" s="213">
        <v>50306</v>
      </c>
      <c r="H24" s="213">
        <v>62483</v>
      </c>
      <c r="I24" s="213">
        <v>81880</v>
      </c>
      <c r="J24" s="213">
        <v>96861</v>
      </c>
      <c r="K24" s="213">
        <v>121415</v>
      </c>
      <c r="L24" s="213">
        <v>165024</v>
      </c>
      <c r="M24" s="213">
        <v>178032</v>
      </c>
      <c r="N24" s="214">
        <v>191598</v>
      </c>
      <c r="O24" s="215"/>
      <c r="Q24" s="217" t="s">
        <v>64</v>
      </c>
      <c r="S24" s="213">
        <v>43813</v>
      </c>
      <c r="T24" s="213">
        <v>50306</v>
      </c>
      <c r="U24" s="213">
        <v>121415</v>
      </c>
      <c r="V24" s="212"/>
    </row>
    <row r="25" spans="2:26">
      <c r="B25" s="217" t="s">
        <v>65</v>
      </c>
      <c r="D25" s="213">
        <v>189736</v>
      </c>
      <c r="E25" s="213">
        <v>166840</v>
      </c>
      <c r="F25" s="213">
        <v>195083</v>
      </c>
      <c r="G25" s="213">
        <v>248792</v>
      </c>
      <c r="H25" s="213">
        <v>348533</v>
      </c>
      <c r="I25" s="213">
        <v>347087</v>
      </c>
      <c r="J25" s="227">
        <v>349392</v>
      </c>
      <c r="K25" s="213">
        <v>196963</v>
      </c>
      <c r="L25" s="213">
        <v>5739</v>
      </c>
      <c r="M25" s="213">
        <v>39697</v>
      </c>
      <c r="N25" s="214">
        <v>262191</v>
      </c>
      <c r="O25" s="215"/>
      <c r="Q25" s="217" t="s">
        <v>65</v>
      </c>
      <c r="S25" s="213">
        <v>195083</v>
      </c>
      <c r="T25" s="213">
        <v>248792</v>
      </c>
      <c r="U25" s="213">
        <v>196963</v>
      </c>
      <c r="V25" s="212"/>
    </row>
    <row r="26" spans="2:26">
      <c r="B26" s="217" t="s">
        <v>66</v>
      </c>
      <c r="D26" s="227">
        <v>1363</v>
      </c>
      <c r="E26" s="227">
        <v>1873</v>
      </c>
      <c r="F26" s="227">
        <v>3375</v>
      </c>
      <c r="G26" s="227">
        <v>5131</v>
      </c>
      <c r="H26" s="227">
        <v>6138</v>
      </c>
      <c r="I26" s="227">
        <v>6664</v>
      </c>
      <c r="J26" s="227">
        <v>7838</v>
      </c>
      <c r="K26" s="227">
        <v>11133</v>
      </c>
      <c r="L26" s="227">
        <v>434777</v>
      </c>
      <c r="M26" s="227">
        <v>20716</v>
      </c>
      <c r="N26" s="228">
        <v>40246</v>
      </c>
      <c r="O26" s="229"/>
      <c r="Q26" s="217" t="s">
        <v>66</v>
      </c>
      <c r="S26" s="227">
        <v>3375</v>
      </c>
      <c r="T26" s="227">
        <v>5131</v>
      </c>
      <c r="U26" s="227">
        <v>11133</v>
      </c>
      <c r="V26" s="212"/>
    </row>
    <row r="27" spans="2:26">
      <c r="B27" s="217" t="s">
        <v>67</v>
      </c>
      <c r="C27" s="185"/>
      <c r="D27" s="230">
        <v>4392</v>
      </c>
      <c r="E27" s="230">
        <v>2169</v>
      </c>
      <c r="F27" s="230">
        <v>2142</v>
      </c>
      <c r="G27" s="230">
        <v>1802</v>
      </c>
      <c r="H27" s="230">
        <v>2602</v>
      </c>
      <c r="I27" s="230">
        <v>3193</v>
      </c>
      <c r="J27" s="230">
        <v>3512</v>
      </c>
      <c r="K27" s="230">
        <v>0</v>
      </c>
      <c r="L27" s="230">
        <f>15331+9159</f>
        <v>24490</v>
      </c>
      <c r="M27" s="230">
        <v>11390</v>
      </c>
      <c r="N27" s="231">
        <v>13418</v>
      </c>
      <c r="O27" s="232"/>
      <c r="P27" s="185"/>
      <c r="Q27" s="217" t="s">
        <v>67</v>
      </c>
      <c r="R27" s="185"/>
      <c r="S27" s="230">
        <v>2142</v>
      </c>
      <c r="T27" s="230">
        <v>1802</v>
      </c>
      <c r="U27" s="230">
        <v>0</v>
      </c>
      <c r="V27" s="225"/>
      <c r="W27" s="185"/>
      <c r="X27" s="185"/>
      <c r="Y27" s="185"/>
      <c r="Z27" s="185"/>
    </row>
    <row r="28" spans="2:26">
      <c r="B28" s="220" t="s">
        <v>68</v>
      </c>
      <c r="C28" s="19"/>
      <c r="D28" s="233">
        <f t="shared" ref="D28:N28" si="2">SUM(D24:D27)</f>
        <v>224559</v>
      </c>
      <c r="E28" s="233">
        <f t="shared" si="2"/>
        <v>203837</v>
      </c>
      <c r="F28" s="233">
        <f t="shared" si="2"/>
        <v>244413</v>
      </c>
      <c r="G28" s="233">
        <f t="shared" si="2"/>
        <v>306031</v>
      </c>
      <c r="H28" s="233">
        <f t="shared" si="2"/>
        <v>419756</v>
      </c>
      <c r="I28" s="233">
        <f t="shared" si="2"/>
        <v>438824</v>
      </c>
      <c r="J28" s="233">
        <f t="shared" si="2"/>
        <v>457603</v>
      </c>
      <c r="K28" s="233">
        <f t="shared" si="2"/>
        <v>329511</v>
      </c>
      <c r="L28" s="233">
        <f t="shared" si="2"/>
        <v>630030</v>
      </c>
      <c r="M28" s="233">
        <f t="shared" si="2"/>
        <v>249835</v>
      </c>
      <c r="N28" s="233">
        <f t="shared" si="2"/>
        <v>507453</v>
      </c>
      <c r="O28" s="234"/>
      <c r="P28" s="19"/>
      <c r="Q28" s="220" t="s">
        <v>68</v>
      </c>
      <c r="R28" s="19"/>
      <c r="S28" s="233">
        <f>SUM(S24:S27)</f>
        <v>244413</v>
      </c>
      <c r="T28" s="233">
        <f>SUM(T24:T27)</f>
        <v>306031</v>
      </c>
      <c r="U28" s="233">
        <f>SUM(U24:U27)</f>
        <v>329511</v>
      </c>
      <c r="V28" s="163"/>
      <c r="W28" s="19"/>
      <c r="X28" s="19"/>
      <c r="Y28" s="19"/>
      <c r="Z28" s="19"/>
    </row>
    <row r="29" spans="2:26">
      <c r="B29" s="217" t="s">
        <v>69</v>
      </c>
      <c r="D29" s="227">
        <v>5460</v>
      </c>
      <c r="E29" s="227">
        <v>10279</v>
      </c>
      <c r="F29" s="227">
        <v>16363</v>
      </c>
      <c r="G29" s="227">
        <v>48469</v>
      </c>
      <c r="H29" s="227">
        <v>66788</v>
      </c>
      <c r="I29" s="227">
        <v>76873</v>
      </c>
      <c r="J29" s="227">
        <v>96179</v>
      </c>
      <c r="K29" s="227">
        <v>425349</v>
      </c>
      <c r="L29" s="227">
        <v>343251</v>
      </c>
      <c r="M29" s="227">
        <v>743132</v>
      </c>
      <c r="N29" s="228">
        <v>776580</v>
      </c>
      <c r="O29" s="229"/>
      <c r="Q29" s="217" t="s">
        <v>69</v>
      </c>
      <c r="S29" s="227">
        <v>16363</v>
      </c>
      <c r="T29" s="227">
        <v>48469</v>
      </c>
      <c r="U29" s="227">
        <v>425349</v>
      </c>
      <c r="V29" s="212"/>
    </row>
    <row r="30" spans="2:26">
      <c r="B30" s="217" t="s">
        <v>70</v>
      </c>
      <c r="D30" s="227">
        <v>0</v>
      </c>
      <c r="E30" s="227">
        <v>0</v>
      </c>
      <c r="F30" s="227">
        <v>0</v>
      </c>
      <c r="G30" s="227">
        <v>0</v>
      </c>
      <c r="H30" s="227">
        <v>0</v>
      </c>
      <c r="I30" s="227">
        <v>0</v>
      </c>
      <c r="J30" s="227">
        <v>0</v>
      </c>
      <c r="K30" s="227">
        <v>0</v>
      </c>
      <c r="L30" s="227">
        <v>135788</v>
      </c>
      <c r="M30" s="227">
        <v>85776</v>
      </c>
      <c r="N30" s="228">
        <v>87266</v>
      </c>
      <c r="O30" s="229"/>
      <c r="Q30" s="217" t="s">
        <v>70</v>
      </c>
      <c r="S30" s="227">
        <v>0</v>
      </c>
      <c r="T30" s="227">
        <v>0</v>
      </c>
      <c r="U30" s="227">
        <v>0</v>
      </c>
      <c r="V30" s="212"/>
    </row>
    <row r="31" spans="2:26" ht="18">
      <c r="B31" s="217" t="s">
        <v>71</v>
      </c>
      <c r="C31" s="185"/>
      <c r="D31" s="230">
        <f>20000+2254</f>
        <v>22254</v>
      </c>
      <c r="E31" s="230">
        <v>5337</v>
      </c>
      <c r="F31" s="230">
        <v>6920</v>
      </c>
      <c r="G31" s="230">
        <v>7093</v>
      </c>
      <c r="H31" s="230">
        <v>7250</v>
      </c>
      <c r="I31" s="235">
        <v>6957</v>
      </c>
      <c r="J31" s="230">
        <f>342481+9072</f>
        <v>351553</v>
      </c>
      <c r="K31" s="230">
        <v>8725</v>
      </c>
      <c r="L31" s="230">
        <f>74641+1844</f>
        <v>76485</v>
      </c>
      <c r="M31" s="230">
        <v>1844</v>
      </c>
      <c r="N31" s="231">
        <v>1844</v>
      </c>
      <c r="O31" s="232"/>
      <c r="P31" s="185"/>
      <c r="Q31" s="217" t="s">
        <v>71</v>
      </c>
      <c r="R31" s="185"/>
      <c r="S31" s="230">
        <v>6920</v>
      </c>
      <c r="T31" s="230">
        <v>7093</v>
      </c>
      <c r="U31" s="230">
        <v>8725</v>
      </c>
      <c r="V31" s="225"/>
      <c r="W31" s="185"/>
      <c r="X31" s="185"/>
      <c r="Y31" s="185"/>
      <c r="Z31" s="185"/>
    </row>
    <row r="32" spans="2:26">
      <c r="B32" s="220" t="s">
        <v>72</v>
      </c>
      <c r="C32" s="19"/>
      <c r="D32" s="233">
        <f t="shared" ref="D32:N32" si="3">SUM(D28:D31)</f>
        <v>252273</v>
      </c>
      <c r="E32" s="233">
        <f t="shared" si="3"/>
        <v>219453</v>
      </c>
      <c r="F32" s="233">
        <f t="shared" si="3"/>
        <v>267696</v>
      </c>
      <c r="G32" s="233">
        <f t="shared" si="3"/>
        <v>361593</v>
      </c>
      <c r="H32" s="233">
        <f t="shared" si="3"/>
        <v>493794</v>
      </c>
      <c r="I32" s="233">
        <f t="shared" si="3"/>
        <v>522654</v>
      </c>
      <c r="J32" s="233">
        <f t="shared" si="3"/>
        <v>905335</v>
      </c>
      <c r="K32" s="233">
        <f t="shared" si="3"/>
        <v>763585</v>
      </c>
      <c r="L32" s="233">
        <f t="shared" si="3"/>
        <v>1185554</v>
      </c>
      <c r="M32" s="233">
        <f t="shared" si="3"/>
        <v>1080587</v>
      </c>
      <c r="N32" s="233">
        <f t="shared" si="3"/>
        <v>1373143</v>
      </c>
      <c r="O32" s="234"/>
      <c r="P32" s="19"/>
      <c r="Q32" s="220" t="s">
        <v>72</v>
      </c>
      <c r="R32" s="19"/>
      <c r="S32" s="233">
        <f>SUM(S28:S31)</f>
        <v>267696</v>
      </c>
      <c r="T32" s="233">
        <f>SUM(T28:T31)</f>
        <v>361593</v>
      </c>
      <c r="U32" s="233">
        <f>SUM(U28:U31)</f>
        <v>763585</v>
      </c>
      <c r="V32" s="163"/>
      <c r="W32" s="19"/>
      <c r="X32" s="19"/>
      <c r="Y32" s="19"/>
      <c r="Z32" s="19"/>
    </row>
    <row r="33" spans="2:26">
      <c r="B33" s="164" t="s">
        <v>73</v>
      </c>
      <c r="D33" s="227"/>
      <c r="E33" s="227"/>
      <c r="F33" s="227"/>
      <c r="G33" s="227"/>
      <c r="H33" s="227"/>
      <c r="I33" s="227"/>
      <c r="J33" s="227"/>
      <c r="K33" s="227"/>
      <c r="L33" s="227"/>
      <c r="M33" s="227"/>
      <c r="N33" s="228"/>
      <c r="O33" s="229"/>
      <c r="Q33" s="164" t="s">
        <v>73</v>
      </c>
      <c r="S33" s="227"/>
      <c r="T33" s="227"/>
      <c r="U33" s="227"/>
      <c r="V33" s="212"/>
    </row>
    <row r="34" spans="2:26">
      <c r="B34" s="217" t="s">
        <v>85</v>
      </c>
      <c r="D34" s="227">
        <v>258233</v>
      </c>
      <c r="E34" s="227">
        <v>0</v>
      </c>
      <c r="F34" s="227">
        <v>0</v>
      </c>
      <c r="G34" s="227">
        <v>0</v>
      </c>
      <c r="H34" s="227">
        <v>0</v>
      </c>
      <c r="I34" s="227">
        <v>0</v>
      </c>
      <c r="J34" s="227">
        <v>0</v>
      </c>
      <c r="K34" s="227">
        <v>0</v>
      </c>
      <c r="L34" s="227">
        <v>0</v>
      </c>
      <c r="M34" s="227">
        <v>0</v>
      </c>
      <c r="N34" s="228">
        <v>0</v>
      </c>
      <c r="O34" s="229"/>
      <c r="Q34" s="217" t="s">
        <v>85</v>
      </c>
      <c r="S34" s="227">
        <v>0</v>
      </c>
      <c r="T34" s="227">
        <v>0</v>
      </c>
      <c r="U34" s="227">
        <v>0</v>
      </c>
      <c r="V34" s="212"/>
    </row>
    <row r="35" spans="2:26">
      <c r="B35" s="217" t="s">
        <v>74</v>
      </c>
      <c r="D35" s="227">
        <v>59654</v>
      </c>
      <c r="E35" s="227">
        <v>0</v>
      </c>
      <c r="F35" s="227">
        <v>0</v>
      </c>
      <c r="G35" s="227">
        <v>97127</v>
      </c>
      <c r="H35" s="227">
        <v>98507</v>
      </c>
      <c r="I35" s="227">
        <v>98507</v>
      </c>
      <c r="J35" s="227">
        <v>24627</v>
      </c>
      <c r="K35" s="227">
        <v>0</v>
      </c>
      <c r="L35" s="227">
        <v>0</v>
      </c>
      <c r="M35" s="227">
        <v>0</v>
      </c>
      <c r="N35" s="228">
        <v>0</v>
      </c>
      <c r="O35" s="229"/>
      <c r="Q35" s="217" t="s">
        <v>74</v>
      </c>
      <c r="S35" s="227">
        <v>0</v>
      </c>
      <c r="T35" s="227">
        <v>97127</v>
      </c>
      <c r="U35" s="227">
        <v>0</v>
      </c>
      <c r="V35" s="212"/>
    </row>
    <row r="36" spans="2:26">
      <c r="B36" s="217" t="s">
        <v>75</v>
      </c>
      <c r="D36" s="227">
        <v>0</v>
      </c>
      <c r="E36" s="227">
        <v>16</v>
      </c>
      <c r="F36" s="227">
        <v>16</v>
      </c>
      <c r="G36" s="227">
        <v>18</v>
      </c>
      <c r="H36" s="227">
        <v>20</v>
      </c>
      <c r="I36" s="227">
        <v>34</v>
      </c>
      <c r="J36" s="227">
        <v>38</v>
      </c>
      <c r="K36" s="227">
        <v>41</v>
      </c>
      <c r="L36" s="227">
        <v>43</v>
      </c>
      <c r="M36" s="227">
        <v>50</v>
      </c>
      <c r="N36" s="228">
        <v>50</v>
      </c>
      <c r="O36" s="229"/>
      <c r="Q36" s="217" t="s">
        <v>75</v>
      </c>
      <c r="S36" s="227">
        <v>16</v>
      </c>
      <c r="T36" s="227">
        <v>18</v>
      </c>
      <c r="U36" s="227">
        <v>41</v>
      </c>
      <c r="V36" s="212"/>
    </row>
    <row r="37" spans="2:26">
      <c r="B37" s="217" t="s">
        <v>76</v>
      </c>
      <c r="D37" s="227">
        <v>0</v>
      </c>
      <c r="E37" s="227">
        <v>117</v>
      </c>
      <c r="F37" s="227">
        <v>117</v>
      </c>
      <c r="G37" s="227">
        <v>115</v>
      </c>
      <c r="H37" s="227">
        <v>113</v>
      </c>
      <c r="I37" s="227">
        <v>106</v>
      </c>
      <c r="J37" s="227">
        <v>106</v>
      </c>
      <c r="K37" s="227">
        <v>104</v>
      </c>
      <c r="L37" s="227">
        <v>102</v>
      </c>
      <c r="M37" s="227">
        <v>101</v>
      </c>
      <c r="N37" s="228">
        <v>101</v>
      </c>
      <c r="O37" s="229"/>
      <c r="Q37" s="217" t="s">
        <v>76</v>
      </c>
      <c r="S37" s="227">
        <v>117</v>
      </c>
      <c r="T37" s="227">
        <v>115</v>
      </c>
      <c r="U37" s="227">
        <v>104</v>
      </c>
      <c r="V37" s="212"/>
    </row>
    <row r="38" spans="2:26">
      <c r="B38" s="217" t="s">
        <v>77</v>
      </c>
      <c r="D38" s="227">
        <v>0</v>
      </c>
      <c r="E38" s="227">
        <v>34145</v>
      </c>
      <c r="F38" s="227">
        <v>35447</v>
      </c>
      <c r="G38" s="227">
        <v>41375</v>
      </c>
      <c r="H38" s="227">
        <v>41603</v>
      </c>
      <c r="I38" s="227">
        <v>95008</v>
      </c>
      <c r="J38" s="227">
        <v>130284</v>
      </c>
      <c r="K38" s="227">
        <v>147916</v>
      </c>
      <c r="L38" s="227">
        <v>157830</v>
      </c>
      <c r="M38" s="227">
        <v>263409</v>
      </c>
      <c r="N38" s="228">
        <v>274210</v>
      </c>
      <c r="O38" s="229"/>
      <c r="Q38" s="217" t="s">
        <v>77</v>
      </c>
      <c r="S38" s="227">
        <v>35447</v>
      </c>
      <c r="T38" s="227">
        <v>41375</v>
      </c>
      <c r="U38" s="227">
        <v>147916</v>
      </c>
      <c r="V38" s="212"/>
    </row>
    <row r="39" spans="2:26">
      <c r="B39" s="217" t="s">
        <v>78</v>
      </c>
      <c r="C39" s="185"/>
      <c r="D39" s="230">
        <v>-221157</v>
      </c>
      <c r="E39" s="230">
        <v>-3039</v>
      </c>
      <c r="F39" s="230">
        <v>-7419</v>
      </c>
      <c r="G39" s="230">
        <v>-12899</v>
      </c>
      <c r="H39" s="230">
        <v>-19942</v>
      </c>
      <c r="I39" s="230">
        <v>-29907</v>
      </c>
      <c r="J39" s="230">
        <v>-45949</v>
      </c>
      <c r="K39" s="230">
        <v>-74653</v>
      </c>
      <c r="L39" s="230">
        <v>-103202</v>
      </c>
      <c r="M39" s="230">
        <v>-129812</v>
      </c>
      <c r="N39" s="231">
        <v>-168829</v>
      </c>
      <c r="O39" s="232"/>
      <c r="P39" s="185"/>
      <c r="Q39" s="217" t="s">
        <v>78</v>
      </c>
      <c r="R39" s="185"/>
      <c r="S39" s="230">
        <v>-7419</v>
      </c>
      <c r="T39" s="230">
        <v>-12899</v>
      </c>
      <c r="U39" s="230">
        <v>-74653</v>
      </c>
      <c r="V39" s="225"/>
      <c r="W39" s="185"/>
      <c r="X39" s="185"/>
      <c r="Y39" s="185"/>
      <c r="Z39" s="185"/>
    </row>
    <row r="40" spans="2:26">
      <c r="B40" s="220" t="s">
        <v>79</v>
      </c>
      <c r="D40" s="233">
        <f t="shared" ref="D40:N40" si="4">SUM(D34:D39)</f>
        <v>96730</v>
      </c>
      <c r="E40" s="233">
        <f t="shared" si="4"/>
        <v>31239</v>
      </c>
      <c r="F40" s="233">
        <f t="shared" si="4"/>
        <v>28161</v>
      </c>
      <c r="G40" s="233">
        <f t="shared" si="4"/>
        <v>125736</v>
      </c>
      <c r="H40" s="233">
        <f t="shared" si="4"/>
        <v>120301</v>
      </c>
      <c r="I40" s="233">
        <f t="shared" si="4"/>
        <v>163748</v>
      </c>
      <c r="J40" s="233">
        <f t="shared" si="4"/>
        <v>109106</v>
      </c>
      <c r="K40" s="233">
        <f t="shared" si="4"/>
        <v>73408</v>
      </c>
      <c r="L40" s="233">
        <f t="shared" si="4"/>
        <v>54773</v>
      </c>
      <c r="M40" s="233">
        <f t="shared" si="4"/>
        <v>133748</v>
      </c>
      <c r="N40" s="233">
        <f t="shared" si="4"/>
        <v>105532</v>
      </c>
      <c r="O40" s="234"/>
      <c r="P40" s="19"/>
      <c r="Q40" s="220" t="s">
        <v>79</v>
      </c>
      <c r="R40" s="19"/>
      <c r="S40" s="233">
        <f>SUM(S34:S39)</f>
        <v>28161</v>
      </c>
      <c r="T40" s="233">
        <f>SUM(T34:T39)</f>
        <v>125736</v>
      </c>
      <c r="U40" s="233">
        <f>SUM(U34:U39)</f>
        <v>73408</v>
      </c>
      <c r="V40" s="163"/>
      <c r="W40" s="19"/>
      <c r="X40" s="19"/>
      <c r="Y40" s="19"/>
      <c r="Z40" s="19"/>
    </row>
    <row r="41" spans="2:26">
      <c r="B41" s="217" t="s">
        <v>80</v>
      </c>
      <c r="C41" s="185"/>
      <c r="D41" s="230">
        <v>0</v>
      </c>
      <c r="E41" s="230">
        <v>234191</v>
      </c>
      <c r="F41" s="230">
        <v>199315</v>
      </c>
      <c r="G41" s="230">
        <v>153808</v>
      </c>
      <c r="H41" s="230">
        <v>106639</v>
      </c>
      <c r="I41" s="230">
        <v>195361</v>
      </c>
      <c r="J41" s="230">
        <v>197662</v>
      </c>
      <c r="K41" s="230">
        <v>154020</v>
      </c>
      <c r="L41" s="230">
        <v>98074</v>
      </c>
      <c r="M41" s="230">
        <v>260069</v>
      </c>
      <c r="N41" s="231">
        <v>205646</v>
      </c>
      <c r="O41" s="232"/>
      <c r="P41" s="185"/>
      <c r="Q41" s="217" t="s">
        <v>80</v>
      </c>
      <c r="R41" s="185"/>
      <c r="S41" s="230">
        <v>199315</v>
      </c>
      <c r="T41" s="230">
        <v>153808</v>
      </c>
      <c r="U41" s="230">
        <v>154020</v>
      </c>
      <c r="V41" s="225"/>
      <c r="W41" s="185"/>
      <c r="X41" s="185"/>
      <c r="Y41" s="185"/>
      <c r="Z41" s="185"/>
    </row>
    <row r="42" spans="2:26">
      <c r="B42" s="220" t="s">
        <v>81</v>
      </c>
      <c r="C42" s="19"/>
      <c r="D42" s="233">
        <f t="shared" ref="D42:M42" si="5">SUM(D40:D41)</f>
        <v>96730</v>
      </c>
      <c r="E42" s="233">
        <f t="shared" si="5"/>
        <v>265430</v>
      </c>
      <c r="F42" s="233">
        <f t="shared" si="5"/>
        <v>227476</v>
      </c>
      <c r="G42" s="233">
        <f t="shared" si="5"/>
        <v>279544</v>
      </c>
      <c r="H42" s="233">
        <f t="shared" si="5"/>
        <v>226940</v>
      </c>
      <c r="I42" s="233">
        <f t="shared" si="5"/>
        <v>359109</v>
      </c>
      <c r="J42" s="233">
        <f t="shared" si="5"/>
        <v>306768</v>
      </c>
      <c r="K42" s="233">
        <f t="shared" si="5"/>
        <v>227428</v>
      </c>
      <c r="L42" s="233">
        <f t="shared" si="5"/>
        <v>152847</v>
      </c>
      <c r="M42" s="233">
        <f t="shared" si="5"/>
        <v>393817</v>
      </c>
      <c r="N42" s="233">
        <f t="shared" ref="N42" si="6">SUM(N40:N41)</f>
        <v>311178</v>
      </c>
      <c r="O42" s="234"/>
      <c r="P42" s="19"/>
      <c r="Q42" s="220" t="s">
        <v>81</v>
      </c>
      <c r="R42" s="19"/>
      <c r="S42" s="233">
        <f>SUM(S40:S41)</f>
        <v>227476</v>
      </c>
      <c r="T42" s="233">
        <f>SUM(T40:T41)</f>
        <v>279544</v>
      </c>
      <c r="U42" s="233">
        <f>SUM(U40:U41)</f>
        <v>227428</v>
      </c>
      <c r="V42" s="163"/>
      <c r="W42" s="19"/>
      <c r="X42" s="19"/>
      <c r="Y42" s="19"/>
      <c r="Z42" s="19"/>
    </row>
    <row r="43" spans="2:26">
      <c r="B43" s="19" t="s">
        <v>82</v>
      </c>
      <c r="C43" s="19"/>
      <c r="D43" s="233">
        <f t="shared" ref="D43:M43" si="7">D42+D32</f>
        <v>349003</v>
      </c>
      <c r="E43" s="233">
        <f t="shared" si="7"/>
        <v>484883</v>
      </c>
      <c r="F43" s="233">
        <f t="shared" si="7"/>
        <v>495172</v>
      </c>
      <c r="G43" s="233">
        <f t="shared" si="7"/>
        <v>641137</v>
      </c>
      <c r="H43" s="233">
        <f t="shared" si="7"/>
        <v>720734</v>
      </c>
      <c r="I43" s="233">
        <f t="shared" si="7"/>
        <v>881763</v>
      </c>
      <c r="J43" s="233">
        <f t="shared" si="7"/>
        <v>1212103</v>
      </c>
      <c r="K43" s="233">
        <f t="shared" si="7"/>
        <v>991013</v>
      </c>
      <c r="L43" s="233">
        <f t="shared" si="7"/>
        <v>1338401</v>
      </c>
      <c r="M43" s="233">
        <f t="shared" si="7"/>
        <v>1474404</v>
      </c>
      <c r="N43" s="233">
        <f t="shared" ref="N43" si="8">N42+N32</f>
        <v>1684321</v>
      </c>
      <c r="O43" s="234"/>
      <c r="P43" s="19"/>
      <c r="Q43" s="19" t="s">
        <v>82</v>
      </c>
      <c r="R43" s="19"/>
      <c r="S43" s="233">
        <f>S42+S32</f>
        <v>495172</v>
      </c>
      <c r="T43" s="233">
        <f>T42+T32</f>
        <v>641137</v>
      </c>
      <c r="U43" s="233">
        <f>U42+U32</f>
        <v>991013</v>
      </c>
      <c r="V43" s="163"/>
      <c r="W43" s="19"/>
      <c r="X43" s="19"/>
      <c r="Y43" s="19"/>
      <c r="Z43" s="19"/>
    </row>
    <row r="44" spans="2:26">
      <c r="B44" s="172"/>
      <c r="Q44" s="172"/>
    </row>
    <row r="45" spans="2:26">
      <c r="B45" s="172"/>
      <c r="Q45" s="172"/>
      <c r="S45" s="184">
        <f>(S29+S26+S30)/S43</f>
        <v>3.9860896819690933E-2</v>
      </c>
      <c r="T45" s="184">
        <f t="shared" ref="T45:U45" si="9">(T29+T26+T30)/T43</f>
        <v>8.3601476751458736E-2</v>
      </c>
      <c r="U45" s="184">
        <f t="shared" si="9"/>
        <v>0.44044023640456786</v>
      </c>
    </row>
    <row r="46" spans="2:26">
      <c r="B46" s="182" t="s">
        <v>84</v>
      </c>
      <c r="C46" s="186"/>
      <c r="D46" s="186">
        <f t="shared" ref="D46:O46" si="10">D43-D21</f>
        <v>0</v>
      </c>
      <c r="E46" s="186">
        <f t="shared" si="10"/>
        <v>0</v>
      </c>
      <c r="F46" s="186">
        <f t="shared" si="10"/>
        <v>0</v>
      </c>
      <c r="G46" s="186">
        <f t="shared" si="10"/>
        <v>0</v>
      </c>
      <c r="H46" s="186">
        <f t="shared" si="10"/>
        <v>0</v>
      </c>
      <c r="I46" s="186">
        <f t="shared" si="10"/>
        <v>0</v>
      </c>
      <c r="J46" s="186">
        <f t="shared" si="10"/>
        <v>0</v>
      </c>
      <c r="K46" s="186">
        <f t="shared" si="10"/>
        <v>0</v>
      </c>
      <c r="L46" s="186">
        <f t="shared" si="10"/>
        <v>0</v>
      </c>
      <c r="M46" s="186">
        <f t="shared" si="10"/>
        <v>0</v>
      </c>
      <c r="N46" s="186">
        <f t="shared" si="10"/>
        <v>0</v>
      </c>
      <c r="O46" s="186">
        <f t="shared" si="10"/>
        <v>0</v>
      </c>
      <c r="P46" s="186"/>
      <c r="Q46" s="182" t="s">
        <v>84</v>
      </c>
      <c r="R46" s="186"/>
      <c r="S46" s="186">
        <f>S43-S21</f>
        <v>0</v>
      </c>
      <c r="T46" s="186">
        <f>T43-T21</f>
        <v>0</v>
      </c>
      <c r="U46" s="186">
        <f>U43-U21</f>
        <v>0</v>
      </c>
      <c r="V46" s="186"/>
      <c r="W46" s="186"/>
      <c r="X46" s="186"/>
      <c r="Y46" s="186"/>
      <c r="Z46" s="186"/>
    </row>
    <row r="47" spans="2:26">
      <c r="B47" s="172"/>
    </row>
    <row r="48" spans="2:26">
      <c r="B48" s="19" t="s">
        <v>242</v>
      </c>
      <c r="D48" s="180"/>
      <c r="E48" s="180"/>
      <c r="F48" s="180"/>
      <c r="G48" s="180"/>
      <c r="H48" s="180"/>
      <c r="I48" s="180"/>
      <c r="J48" s="180"/>
      <c r="K48" s="180"/>
      <c r="L48" s="180"/>
      <c r="M48" s="180"/>
      <c r="N48" s="180"/>
      <c r="Q48" s="19" t="s">
        <v>242</v>
      </c>
    </row>
    <row r="49" spans="2:21">
      <c r="B49" s="19"/>
      <c r="E49" s="180"/>
      <c r="F49" s="180"/>
      <c r="G49" s="180"/>
      <c r="H49" s="180"/>
      <c r="I49" s="180"/>
      <c r="J49" s="180"/>
      <c r="K49" s="180"/>
      <c r="L49" s="180"/>
      <c r="M49" s="180"/>
      <c r="N49" s="180"/>
      <c r="Q49" s="19"/>
    </row>
    <row r="50" spans="2:21">
      <c r="B50" s="172" t="s">
        <v>137</v>
      </c>
      <c r="D50" s="180">
        <f>'Income Statement'!D10</f>
        <v>159073</v>
      </c>
      <c r="E50" s="180">
        <f>'Income Statement'!E10</f>
        <v>209365</v>
      </c>
      <c r="F50" s="180">
        <f>'Income Statement'!F10</f>
        <v>225379</v>
      </c>
      <c r="G50" s="180">
        <f>'Income Statement'!G10</f>
        <v>265053</v>
      </c>
      <c r="H50" s="180">
        <f>'Income Statement'!H10</f>
        <v>360422</v>
      </c>
      <c r="I50" s="180">
        <f>'Income Statement'!I10</f>
        <v>475286</v>
      </c>
      <c r="J50" s="180">
        <f>'Income Statement'!J10</f>
        <v>534921</v>
      </c>
      <c r="K50" s="180">
        <f>'Income Statement'!K10</f>
        <v>584838</v>
      </c>
      <c r="L50" s="180">
        <f>'Income Statement'!L10</f>
        <v>755234</v>
      </c>
      <c r="M50" s="180">
        <f>'Income Statement'!M10</f>
        <v>986221</v>
      </c>
      <c r="N50" s="180">
        <f>'Income Statement'!N10</f>
        <v>1094854</v>
      </c>
      <c r="O50" s="180"/>
      <c r="Q50" s="172" t="s">
        <v>137</v>
      </c>
      <c r="S50" s="180">
        <f>'Income Statement'!S10</f>
        <v>365148</v>
      </c>
      <c r="T50" s="180">
        <f>'Income Statement'!T10</f>
        <v>858870</v>
      </c>
      <c r="U50" s="180">
        <f>'Income Statement'!U10</f>
        <v>1955467</v>
      </c>
    </row>
    <row r="51" spans="2:21">
      <c r="B51" s="172" t="s">
        <v>19</v>
      </c>
      <c r="D51" s="180">
        <f>'Income Statement'!D11</f>
        <v>149327</v>
      </c>
      <c r="E51" s="180">
        <f>'Income Statement'!E11</f>
        <v>193326</v>
      </c>
      <c r="F51" s="180">
        <f>'Income Statement'!F11</f>
        <v>204963</v>
      </c>
      <c r="G51" s="180">
        <f>'Income Statement'!G11</f>
        <v>243163</v>
      </c>
      <c r="H51" s="180">
        <f>'Income Statement'!H11</f>
        <v>326188</v>
      </c>
      <c r="I51" s="180">
        <f>'Income Statement'!I11</f>
        <v>426251</v>
      </c>
      <c r="J51" s="180">
        <f>'Income Statement'!J11</f>
        <v>477615</v>
      </c>
      <c r="K51" s="180">
        <f>'Income Statement'!K11</f>
        <v>528704</v>
      </c>
      <c r="L51" s="180">
        <f>'Income Statement'!L11</f>
        <v>666702</v>
      </c>
      <c r="M51" s="180">
        <f>'Income Statement'!M11</f>
        <v>848428</v>
      </c>
      <c r="N51" s="180">
        <f>'Income Statement'!N11</f>
        <v>957311</v>
      </c>
      <c r="O51" s="180"/>
      <c r="Q51" s="172" t="s">
        <v>19</v>
      </c>
      <c r="S51" s="180">
        <f>'Income Statement'!S11</f>
        <v>345951</v>
      </c>
      <c r="T51" s="180">
        <f>'Income Statement'!T11</f>
        <v>790779</v>
      </c>
      <c r="U51" s="180">
        <f>'Income Statement'!U11</f>
        <v>1758758</v>
      </c>
    </row>
    <row r="52" spans="2:21">
      <c r="B52" s="19"/>
      <c r="Q52" s="19"/>
    </row>
    <row r="53" spans="2:21">
      <c r="B53" s="172"/>
      <c r="Q53" s="172"/>
    </row>
    <row r="55" spans="2:21">
      <c r="B55" s="236" t="s">
        <v>198</v>
      </c>
      <c r="C55" s="237"/>
      <c r="Q55" s="236" t="s">
        <v>198</v>
      </c>
      <c r="R55" s="237"/>
    </row>
    <row r="56" spans="2:21">
      <c r="B56" s="18" t="s">
        <v>208</v>
      </c>
      <c r="D56" s="238"/>
      <c r="E56" s="238"/>
      <c r="F56" s="238"/>
      <c r="G56" s="238"/>
      <c r="H56" s="238"/>
      <c r="I56" s="238"/>
      <c r="J56" s="238"/>
      <c r="K56" s="238"/>
      <c r="L56" s="238"/>
      <c r="M56" s="238"/>
      <c r="N56" s="238"/>
      <c r="O56" s="238"/>
      <c r="Q56" s="18" t="s">
        <v>208</v>
      </c>
      <c r="S56" s="238">
        <f>S10/S50*365</f>
        <v>11.634282537491647</v>
      </c>
      <c r="T56" s="238">
        <f t="shared" ref="T56:U56" si="11">T10/T50*365</f>
        <v>5.9943006508551937</v>
      </c>
      <c r="U56" s="238">
        <f t="shared" si="11"/>
        <v>6.1820526759081069</v>
      </c>
    </row>
    <row r="57" spans="2:21">
      <c r="B57" s="18" t="s">
        <v>209</v>
      </c>
      <c r="D57" s="238"/>
      <c r="E57" s="238"/>
      <c r="F57" s="238"/>
      <c r="G57" s="238"/>
      <c r="H57" s="238"/>
      <c r="I57" s="238"/>
      <c r="J57" s="238"/>
      <c r="K57" s="238"/>
      <c r="L57" s="238"/>
      <c r="M57" s="238"/>
      <c r="N57" s="238"/>
      <c r="Q57" s="18" t="s">
        <v>209</v>
      </c>
      <c r="S57" s="238">
        <f>S12/S51*365</f>
        <v>202.82736572520383</v>
      </c>
      <c r="T57" s="238">
        <f t="shared" ref="T57:U57" si="12">T12/T51*365</f>
        <v>104.98228961568277</v>
      </c>
      <c r="U57" s="238">
        <f t="shared" si="12"/>
        <v>85.55395057193769</v>
      </c>
    </row>
    <row r="58" spans="2:21">
      <c r="B58" s="18" t="s">
        <v>210</v>
      </c>
      <c r="D58" s="184"/>
      <c r="E58" s="184"/>
      <c r="F58" s="184"/>
      <c r="G58" s="184"/>
      <c r="H58" s="184"/>
      <c r="I58" s="184"/>
      <c r="J58" s="184"/>
      <c r="K58" s="184"/>
      <c r="L58" s="184"/>
      <c r="M58" s="184"/>
      <c r="N58" s="184"/>
      <c r="Q58" s="18" t="s">
        <v>210</v>
      </c>
      <c r="S58" s="184">
        <f>(S14+S13+S11)/S50</f>
        <v>0.12903535004984279</v>
      </c>
      <c r="T58" s="184">
        <f t="shared" ref="T58:U58" si="13">(T14+T13+T11)/T50</f>
        <v>7.1074784309616126E-2</v>
      </c>
      <c r="U58" s="184">
        <f t="shared" si="13"/>
        <v>6.5857414111309479E-2</v>
      </c>
    </row>
    <row r="60" spans="2:21">
      <c r="B60" s="236" t="s">
        <v>202</v>
      </c>
      <c r="C60" s="237"/>
      <c r="Q60" s="236" t="s">
        <v>202</v>
      </c>
      <c r="R60" s="237"/>
    </row>
    <row r="61" spans="2:21">
      <c r="B61" s="18" t="s">
        <v>211</v>
      </c>
      <c r="D61" s="238"/>
      <c r="E61" s="238"/>
      <c r="F61" s="238"/>
      <c r="G61" s="238"/>
      <c r="H61" s="238"/>
      <c r="I61" s="238"/>
      <c r="J61" s="238"/>
      <c r="K61" s="238"/>
      <c r="L61" s="238"/>
      <c r="M61" s="238"/>
      <c r="N61" s="238"/>
      <c r="Q61" s="18" t="s">
        <v>211</v>
      </c>
      <c r="S61" s="238">
        <f>S24/S51*365</f>
        <v>46.225462565507826</v>
      </c>
      <c r="T61" s="238">
        <f t="shared" ref="T61:U61" si="14">T24/T51*365</f>
        <v>23.219749133449419</v>
      </c>
      <c r="U61" s="238">
        <f t="shared" si="14"/>
        <v>25.197596826851676</v>
      </c>
    </row>
    <row r="62" spans="2:21">
      <c r="B62" s="18" t="s">
        <v>213</v>
      </c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Q62" s="18" t="s">
        <v>213</v>
      </c>
      <c r="S62" s="184">
        <f>S26/S50</f>
        <v>9.242827565808933E-3</v>
      </c>
      <c r="T62" s="184">
        <f t="shared" ref="T62:U62" si="15">T26/T50</f>
        <v>5.9741287971404287E-3</v>
      </c>
      <c r="U62" s="184">
        <f t="shared" si="15"/>
        <v>5.6932691781553975E-3</v>
      </c>
    </row>
    <row r="63" spans="2:21">
      <c r="B63" s="18" t="s">
        <v>212</v>
      </c>
      <c r="D63" s="184"/>
      <c r="E63" s="184"/>
      <c r="F63" s="184"/>
      <c r="G63" s="184"/>
      <c r="H63" s="184"/>
      <c r="I63" s="184"/>
      <c r="J63" s="184"/>
      <c r="K63" s="184"/>
      <c r="L63" s="184"/>
      <c r="M63" s="184"/>
      <c r="N63" s="184"/>
      <c r="Q63" s="18" t="s">
        <v>212</v>
      </c>
      <c r="S63" s="184">
        <f>(S27+S25)/S50</f>
        <v>0.54012345679012341</v>
      </c>
      <c r="T63" s="184">
        <f t="shared" ref="T63:U63" si="16">(T27+T25)/T50</f>
        <v>0.29177174659727317</v>
      </c>
      <c r="U63" s="184">
        <f t="shared" si="16"/>
        <v>0.1007242771164126</v>
      </c>
    </row>
  </sheetData>
  <mergeCells count="2">
    <mergeCell ref="B5:C5"/>
    <mergeCell ref="Q5:R5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742D-1F23-4C94-9796-1178575AEDEE}">
  <dimension ref="B1:Z61"/>
  <sheetViews>
    <sheetView showGridLines="0" zoomScaleNormal="100" workbookViewId="0">
      <selection activeCell="S58" sqref="S58"/>
    </sheetView>
  </sheetViews>
  <sheetFormatPr baseColWidth="10" defaultColWidth="9.1640625" defaultRowHeight="15"/>
  <cols>
    <col min="1" max="1" width="1.6640625" style="172" customWidth="1"/>
    <col min="2" max="2" width="12.6640625" style="172" customWidth="1"/>
    <col min="3" max="3" width="42.6640625" style="172" customWidth="1"/>
    <col min="4" max="15" width="12.6640625" style="172" customWidth="1"/>
    <col min="16" max="16" width="3.6640625" style="172" customWidth="1"/>
    <col min="17" max="17" width="12.6640625" style="172" customWidth="1"/>
    <col min="18" max="18" width="42.6640625" style="172" customWidth="1"/>
    <col min="19" max="26" width="12.6640625" style="172" customWidth="1"/>
    <col min="27" max="27" width="3.6640625" style="172" customWidth="1"/>
    <col min="28" max="16384" width="9.1640625" style="172"/>
  </cols>
  <sheetData>
    <row r="1" spans="2:26" ht="26">
      <c r="B1" s="2" t="s">
        <v>86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6" t="s">
        <v>34</v>
      </c>
      <c r="Q1" s="2" t="s">
        <v>86</v>
      </c>
      <c r="R1" s="8"/>
      <c r="S1" s="8"/>
      <c r="T1" s="8"/>
      <c r="U1" s="8"/>
      <c r="V1" s="8"/>
      <c r="W1" s="8"/>
      <c r="X1" s="8"/>
      <c r="Y1" s="8"/>
      <c r="Z1" s="6" t="s">
        <v>34</v>
      </c>
    </row>
    <row r="2" spans="2:26" ht="21">
      <c r="B2" s="3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7" t="s">
        <v>132</v>
      </c>
      <c r="Q2" s="3" t="s">
        <v>0</v>
      </c>
      <c r="R2" s="8"/>
      <c r="S2" s="8"/>
      <c r="T2" s="8"/>
      <c r="U2" s="8"/>
      <c r="V2" s="8"/>
      <c r="W2" s="8"/>
      <c r="X2" s="8"/>
      <c r="Y2" s="8"/>
      <c r="Z2" s="7" t="s">
        <v>132</v>
      </c>
    </row>
    <row r="3" spans="2:26">
      <c r="B3" s="9" t="s">
        <v>83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10"/>
      <c r="O3" s="10" t="s">
        <v>1</v>
      </c>
      <c r="Q3" s="9" t="s">
        <v>83</v>
      </c>
      <c r="R3" s="8"/>
      <c r="S3" s="8"/>
      <c r="T3" s="8"/>
      <c r="U3" s="8"/>
      <c r="V3" s="8"/>
      <c r="W3" s="8"/>
      <c r="X3" s="8"/>
      <c r="Y3" s="8"/>
      <c r="Z3" s="10" t="s">
        <v>1</v>
      </c>
    </row>
    <row r="4" spans="2:26" ht="16" thickBot="1"/>
    <row r="5" spans="2:26" ht="16" thickBot="1">
      <c r="B5" s="479" t="s">
        <v>87</v>
      </c>
      <c r="C5" s="479"/>
      <c r="D5" s="157" t="s">
        <v>2</v>
      </c>
      <c r="E5" s="157" t="s">
        <v>3</v>
      </c>
      <c r="F5" s="157" t="s">
        <v>4</v>
      </c>
      <c r="G5" s="157" t="s">
        <v>5</v>
      </c>
      <c r="H5" s="157" t="s">
        <v>6</v>
      </c>
      <c r="I5" s="157" t="s">
        <v>7</v>
      </c>
      <c r="J5" s="157" t="s">
        <v>8</v>
      </c>
      <c r="K5" s="157" t="s">
        <v>9</v>
      </c>
      <c r="L5" s="157" t="s">
        <v>10</v>
      </c>
      <c r="M5" s="157" t="s">
        <v>11</v>
      </c>
      <c r="N5" s="157" t="s">
        <v>12</v>
      </c>
      <c r="O5" s="158" t="s">
        <v>13</v>
      </c>
      <c r="Q5" s="479" t="s">
        <v>87</v>
      </c>
      <c r="R5" s="479"/>
      <c r="S5" s="157" t="s">
        <v>36</v>
      </c>
      <c r="T5" s="157" t="s">
        <v>37</v>
      </c>
      <c r="U5" s="157" t="s">
        <v>38</v>
      </c>
      <c r="V5" s="158" t="s">
        <v>39</v>
      </c>
      <c r="W5" s="157" t="s">
        <v>40</v>
      </c>
      <c r="X5" s="157" t="s">
        <v>41</v>
      </c>
      <c r="Y5" s="157" t="s">
        <v>42</v>
      </c>
      <c r="Z5" s="157" t="s">
        <v>43</v>
      </c>
    </row>
    <row r="6" spans="2:26">
      <c r="B6" s="197" t="s">
        <v>88</v>
      </c>
      <c r="C6" s="198"/>
      <c r="D6" s="198"/>
      <c r="E6" s="198"/>
      <c r="F6" s="198"/>
      <c r="G6" s="198"/>
      <c r="H6" s="198"/>
      <c r="I6" s="198"/>
      <c r="J6" s="198"/>
      <c r="K6" s="198"/>
      <c r="L6" s="198"/>
      <c r="M6" s="198"/>
      <c r="O6" s="199"/>
      <c r="Q6" s="197" t="s">
        <v>88</v>
      </c>
      <c r="V6" s="199"/>
    </row>
    <row r="7" spans="2:26">
      <c r="B7" s="200" t="s">
        <v>89</v>
      </c>
      <c r="D7" s="201">
        <v>-38439</v>
      </c>
      <c r="E7" s="201">
        <v>-14542</v>
      </c>
      <c r="F7" s="201">
        <v>-4380</v>
      </c>
      <c r="G7" s="201">
        <v>-5480</v>
      </c>
      <c r="H7" s="201">
        <v>-7043</v>
      </c>
      <c r="I7" s="201">
        <v>-9965</v>
      </c>
      <c r="J7" s="201">
        <v>-16042</v>
      </c>
      <c r="K7" s="201">
        <v>-28704</v>
      </c>
      <c r="L7" s="201">
        <v>-28549</v>
      </c>
      <c r="M7" s="201">
        <v>-26610</v>
      </c>
      <c r="N7" s="201">
        <v>-39017</v>
      </c>
      <c r="O7" s="199"/>
      <c r="Q7" s="200" t="s">
        <v>89</v>
      </c>
      <c r="S7" s="201">
        <v>-93112</v>
      </c>
      <c r="T7" s="201">
        <v>-62841</v>
      </c>
      <c r="U7" s="201">
        <v>-61754</v>
      </c>
      <c r="V7" s="199"/>
    </row>
    <row r="8" spans="2:26">
      <c r="B8" s="200" t="s">
        <v>90</v>
      </c>
      <c r="D8" s="201">
        <v>2061</v>
      </c>
      <c r="E8" s="201">
        <v>2584</v>
      </c>
      <c r="F8" s="201">
        <v>3101</v>
      </c>
      <c r="G8" s="201">
        <v>3822</v>
      </c>
      <c r="H8" s="201">
        <v>4605</v>
      </c>
      <c r="I8" s="201">
        <v>5257</v>
      </c>
      <c r="J8" s="201">
        <v>6439</v>
      </c>
      <c r="K8" s="201">
        <v>7238</v>
      </c>
      <c r="L8" s="201">
        <v>7943</v>
      </c>
      <c r="M8" s="201">
        <v>8887</v>
      </c>
      <c r="N8" s="201">
        <v>10675</v>
      </c>
      <c r="O8" s="199"/>
      <c r="Q8" s="200" t="s">
        <v>90</v>
      </c>
      <c r="S8" s="201">
        <v>4658</v>
      </c>
      <c r="T8" s="201">
        <v>11568</v>
      </c>
      <c r="U8" s="201">
        <v>23539</v>
      </c>
      <c r="V8" s="199"/>
    </row>
    <row r="9" spans="2:26">
      <c r="B9" s="200" t="s">
        <v>91</v>
      </c>
      <c r="D9" s="201">
        <v>-104</v>
      </c>
      <c r="E9" s="201">
        <v>-15915</v>
      </c>
      <c r="F9" s="201">
        <v>-46005</v>
      </c>
      <c r="G9" s="201">
        <v>-47372</v>
      </c>
      <c r="H9" s="201">
        <v>-60771</v>
      </c>
      <c r="I9" s="201">
        <v>-54247</v>
      </c>
      <c r="J9" s="201">
        <v>-47020</v>
      </c>
      <c r="K9" s="201">
        <v>314379</v>
      </c>
      <c r="L9" s="201">
        <v>5030</v>
      </c>
      <c r="M9" s="201">
        <v>36036</v>
      </c>
      <c r="N9" s="201">
        <v>-264315</v>
      </c>
      <c r="O9" s="199"/>
      <c r="Q9" s="200" t="s">
        <v>91</v>
      </c>
      <c r="S9" s="201">
        <v>-22024</v>
      </c>
      <c r="T9" s="201">
        <v>-109396</v>
      </c>
      <c r="U9" s="201">
        <v>152341</v>
      </c>
      <c r="V9" s="199"/>
    </row>
    <row r="10" spans="2:26">
      <c r="B10" s="200" t="s">
        <v>113</v>
      </c>
      <c r="D10" s="201">
        <v>158</v>
      </c>
      <c r="E10" s="201">
        <v>1944</v>
      </c>
      <c r="F10" s="201">
        <v>1887</v>
      </c>
      <c r="G10" s="201">
        <v>1622</v>
      </c>
      <c r="H10" s="201">
        <v>1510</v>
      </c>
      <c r="I10" s="201">
        <v>2583</v>
      </c>
      <c r="J10" s="201">
        <v>13888</v>
      </c>
      <c r="K10" s="201">
        <v>6114</v>
      </c>
      <c r="L10" s="201">
        <v>7711</v>
      </c>
      <c r="M10" s="201">
        <v>8034</v>
      </c>
      <c r="N10" s="201">
        <v>9621</v>
      </c>
      <c r="O10" s="199"/>
      <c r="Q10" s="200" t="s">
        <v>113</v>
      </c>
      <c r="S10" s="201">
        <v>555</v>
      </c>
      <c r="T10" s="201">
        <v>5611</v>
      </c>
      <c r="U10" s="201">
        <v>24095</v>
      </c>
      <c r="V10" s="199"/>
    </row>
    <row r="11" spans="2:26">
      <c r="B11" s="202" t="s">
        <v>114</v>
      </c>
      <c r="D11" s="201">
        <v>-262</v>
      </c>
      <c r="E11" s="201">
        <v>-17859</v>
      </c>
      <c r="F11" s="201">
        <v>-47892</v>
      </c>
      <c r="G11" s="201">
        <v>-48994</v>
      </c>
      <c r="H11" s="201">
        <v>-62281</v>
      </c>
      <c r="I11" s="201">
        <v>-56830</v>
      </c>
      <c r="J11" s="201">
        <v>-60908</v>
      </c>
      <c r="K11" s="201">
        <v>308265</v>
      </c>
      <c r="L11" s="201">
        <v>-2681</v>
      </c>
      <c r="M11" s="201">
        <v>28002</v>
      </c>
      <c r="N11" s="201">
        <v>-273936</v>
      </c>
      <c r="O11" s="199"/>
      <c r="Q11" s="202" t="s">
        <v>114</v>
      </c>
      <c r="S11" s="201">
        <v>-22579</v>
      </c>
      <c r="T11" s="201">
        <v>-115007</v>
      </c>
      <c r="U11" s="201">
        <v>128246</v>
      </c>
      <c r="V11" s="199"/>
    </row>
    <row r="12" spans="2:26">
      <c r="B12" s="200" t="s">
        <v>92</v>
      </c>
      <c r="D12" s="201">
        <v>-16404</v>
      </c>
      <c r="E12" s="201">
        <v>19468</v>
      </c>
      <c r="F12" s="201">
        <v>-7439</v>
      </c>
      <c r="G12" s="201">
        <v>-34880</v>
      </c>
      <c r="H12" s="201">
        <v>-68240</v>
      </c>
      <c r="I12" s="201">
        <v>10919</v>
      </c>
      <c r="J12" s="201">
        <v>-27767</v>
      </c>
      <c r="K12" s="201">
        <v>-443378</v>
      </c>
      <c r="L12" s="201">
        <v>-198933</v>
      </c>
      <c r="M12" s="201">
        <v>-98638</v>
      </c>
      <c r="N12" s="201">
        <v>152816</v>
      </c>
      <c r="O12" s="199"/>
      <c r="Q12" s="200" t="s">
        <v>92</v>
      </c>
      <c r="S12" s="201">
        <v>-129747</v>
      </c>
      <c r="T12" s="201">
        <v>-39255</v>
      </c>
      <c r="U12" s="201">
        <v>-528466</v>
      </c>
      <c r="V12" s="199"/>
    </row>
    <row r="13" spans="2:26">
      <c r="B13" s="200" t="s">
        <v>115</v>
      </c>
      <c r="D13" s="201">
        <v>-2470</v>
      </c>
      <c r="E13" s="201">
        <v>-5823</v>
      </c>
      <c r="F13" s="201">
        <v>2134</v>
      </c>
      <c r="G13" s="201">
        <v>-2556</v>
      </c>
      <c r="H13" s="201">
        <v>-6969</v>
      </c>
      <c r="I13" s="201">
        <v>-2531</v>
      </c>
      <c r="J13" s="201">
        <v>66</v>
      </c>
      <c r="K13" s="201">
        <v>-397223</v>
      </c>
      <c r="L13" s="201">
        <v>-121918</v>
      </c>
      <c r="M13" s="201">
        <v>-18764</v>
      </c>
      <c r="N13" s="201">
        <v>167398</v>
      </c>
      <c r="O13" s="199"/>
      <c r="Q13" s="200" t="s">
        <v>115</v>
      </c>
      <c r="S13" s="201">
        <v>-3492</v>
      </c>
      <c r="T13" s="201">
        <v>-8715</v>
      </c>
      <c r="U13" s="201">
        <v>-406657</v>
      </c>
      <c r="V13" s="199"/>
    </row>
    <row r="14" spans="2:26">
      <c r="B14" s="200" t="s">
        <v>116</v>
      </c>
      <c r="D14" s="201">
        <v>-14044</v>
      </c>
      <c r="E14" s="201">
        <v>25712</v>
      </c>
      <c r="F14" s="201">
        <v>-17630</v>
      </c>
      <c r="G14" s="201">
        <v>-34877</v>
      </c>
      <c r="H14" s="201">
        <v>-72030</v>
      </c>
      <c r="I14" s="201">
        <v>-2787</v>
      </c>
      <c r="J14" s="201">
        <v>-35495</v>
      </c>
      <c r="K14" s="201">
        <v>-72756</v>
      </c>
      <c r="L14" s="201">
        <v>-112536</v>
      </c>
      <c r="M14" s="201">
        <v>-79455</v>
      </c>
      <c r="N14" s="201">
        <v>-21771</v>
      </c>
      <c r="O14" s="199"/>
      <c r="Q14" s="200" t="s">
        <v>116</v>
      </c>
      <c r="S14" s="201">
        <v>-117468</v>
      </c>
      <c r="T14" s="201">
        <v>-40839</v>
      </c>
      <c r="U14" s="201">
        <v>-183068</v>
      </c>
      <c r="V14" s="199"/>
    </row>
    <row r="15" spans="2:26">
      <c r="B15" s="200" t="s">
        <v>117</v>
      </c>
      <c r="D15" s="201">
        <v>2508</v>
      </c>
      <c r="E15" s="201">
        <v>-2223</v>
      </c>
      <c r="F15" s="201">
        <v>8409</v>
      </c>
      <c r="G15" s="201">
        <v>-8776</v>
      </c>
      <c r="H15" s="201">
        <v>800</v>
      </c>
      <c r="I15" s="201">
        <v>591</v>
      </c>
      <c r="J15" s="201">
        <v>43436</v>
      </c>
      <c r="K15" s="201">
        <v>-42738</v>
      </c>
      <c r="L15" s="201">
        <v>1848</v>
      </c>
      <c r="M15" s="201">
        <v>-74</v>
      </c>
      <c r="N15" s="201">
        <v>0</v>
      </c>
      <c r="O15" s="199"/>
      <c r="Q15" s="200" t="s">
        <v>117</v>
      </c>
      <c r="S15" s="201">
        <v>-19552</v>
      </c>
      <c r="T15" s="201">
        <v>-82</v>
      </c>
      <c r="U15" s="201">
        <v>2089</v>
      </c>
      <c r="V15" s="199"/>
    </row>
    <row r="16" spans="2:26">
      <c r="B16" s="200" t="s">
        <v>118</v>
      </c>
      <c r="D16" s="201">
        <v>-2398</v>
      </c>
      <c r="E16" s="201">
        <v>1802</v>
      </c>
      <c r="F16" s="201">
        <v>-352</v>
      </c>
      <c r="G16" s="201">
        <v>11329</v>
      </c>
      <c r="H16" s="201">
        <v>9959</v>
      </c>
      <c r="I16" s="201">
        <v>15646</v>
      </c>
      <c r="J16" s="201">
        <v>-35774</v>
      </c>
      <c r="K16" s="201">
        <v>69339</v>
      </c>
      <c r="L16" s="201">
        <v>33673</v>
      </c>
      <c r="M16" s="201">
        <v>-345</v>
      </c>
      <c r="N16" s="201">
        <v>8963</v>
      </c>
      <c r="O16" s="199"/>
      <c r="Q16" s="200" t="s">
        <v>118</v>
      </c>
      <c r="S16" s="201">
        <v>10765</v>
      </c>
      <c r="T16" s="201">
        <v>10381</v>
      </c>
      <c r="U16" s="201">
        <v>59170</v>
      </c>
      <c r="V16" s="199"/>
    </row>
    <row r="17" spans="2:22">
      <c r="B17" s="200" t="s">
        <v>93</v>
      </c>
      <c r="D17" s="201">
        <v>0</v>
      </c>
      <c r="E17" s="201">
        <v>0</v>
      </c>
      <c r="F17" s="201">
        <v>0</v>
      </c>
      <c r="G17" s="201">
        <v>0</v>
      </c>
      <c r="H17" s="201">
        <v>0</v>
      </c>
      <c r="I17" s="201">
        <v>0</v>
      </c>
      <c r="J17" s="201">
        <v>0</v>
      </c>
      <c r="K17" s="201">
        <v>0</v>
      </c>
      <c r="L17" s="201">
        <v>0</v>
      </c>
      <c r="M17" s="201">
        <v>0</v>
      </c>
      <c r="N17" s="201">
        <v>0</v>
      </c>
      <c r="O17" s="199"/>
      <c r="Q17" s="200" t="s">
        <v>93</v>
      </c>
      <c r="S17" s="201">
        <v>0</v>
      </c>
      <c r="T17" s="201">
        <v>0</v>
      </c>
      <c r="U17" s="201">
        <v>0</v>
      </c>
      <c r="V17" s="199"/>
    </row>
    <row r="18" spans="2:22">
      <c r="B18" s="197" t="s">
        <v>88</v>
      </c>
      <c r="D18" s="203">
        <v>-52886</v>
      </c>
      <c r="E18" s="203">
        <v>-8405</v>
      </c>
      <c r="F18" s="203">
        <v>-54723</v>
      </c>
      <c r="G18" s="203">
        <v>-83910</v>
      </c>
      <c r="H18" s="203">
        <v>-131449</v>
      </c>
      <c r="I18" s="203">
        <v>-48036</v>
      </c>
      <c r="J18" s="203">
        <v>-84390</v>
      </c>
      <c r="K18" s="203">
        <v>-150465</v>
      </c>
      <c r="L18" s="203">
        <v>-214509</v>
      </c>
      <c r="M18" s="203">
        <v>-80325</v>
      </c>
      <c r="N18" s="203">
        <v>-139841</v>
      </c>
      <c r="O18" s="199"/>
      <c r="Q18" s="197" t="s">
        <v>88</v>
      </c>
      <c r="S18" s="203">
        <v>-240225</v>
      </c>
      <c r="T18" s="203">
        <v>-199924</v>
      </c>
      <c r="U18" s="203">
        <v>-414340</v>
      </c>
      <c r="V18" s="199"/>
    </row>
    <row r="19" spans="2:22">
      <c r="B19" s="197"/>
      <c r="D19" s="203"/>
      <c r="E19" s="203"/>
      <c r="F19" s="203"/>
      <c r="G19" s="203"/>
      <c r="H19" s="203"/>
      <c r="I19" s="203"/>
      <c r="J19" s="203"/>
      <c r="K19" s="203"/>
      <c r="L19" s="203"/>
      <c r="M19" s="203"/>
      <c r="N19" s="203"/>
      <c r="O19" s="199"/>
      <c r="Q19" s="197"/>
      <c r="S19" s="203"/>
      <c r="T19" s="203"/>
      <c r="U19" s="203"/>
      <c r="V19" s="199"/>
    </row>
    <row r="20" spans="2:22">
      <c r="B20" s="197" t="s">
        <v>94</v>
      </c>
      <c r="D20" s="203"/>
      <c r="E20" s="203"/>
      <c r="F20" s="203"/>
      <c r="G20" s="203"/>
      <c r="H20" s="203"/>
      <c r="I20" s="203"/>
      <c r="J20" s="203"/>
      <c r="K20" s="203"/>
      <c r="L20" s="203"/>
      <c r="M20" s="203"/>
      <c r="N20" s="203"/>
      <c r="O20" s="199"/>
      <c r="Q20" s="197" t="s">
        <v>94</v>
      </c>
      <c r="S20" s="203"/>
      <c r="T20" s="203"/>
      <c r="U20" s="203"/>
      <c r="V20" s="199"/>
    </row>
    <row r="21" spans="2:22">
      <c r="B21" s="200" t="s">
        <v>95</v>
      </c>
      <c r="D21" s="201">
        <v>-18556</v>
      </c>
      <c r="E21" s="201">
        <v>-24020</v>
      </c>
      <c r="F21" s="201">
        <v>-16832</v>
      </c>
      <c r="G21" s="201">
        <v>-19082</v>
      </c>
      <c r="H21" s="201">
        <v>-28011</v>
      </c>
      <c r="I21" s="201">
        <v>-45414</v>
      </c>
      <c r="J21" s="201">
        <v>-33803</v>
      </c>
      <c r="K21" s="201">
        <v>-36440</v>
      </c>
      <c r="L21" s="201">
        <v>-43199</v>
      </c>
      <c r="M21" s="201">
        <v>-44938</v>
      </c>
      <c r="N21" s="201">
        <v>-63243</v>
      </c>
      <c r="O21" s="199"/>
      <c r="Q21" s="200" t="s">
        <v>95</v>
      </c>
      <c r="S21" s="201">
        <v>-39539</v>
      </c>
      <c r="T21" s="201">
        <v>-78490</v>
      </c>
      <c r="U21" s="201">
        <v>-143668</v>
      </c>
      <c r="V21" s="199"/>
    </row>
    <row r="22" spans="2:22">
      <c r="B22" s="200" t="s">
        <v>119</v>
      </c>
      <c r="D22" s="201">
        <v>0</v>
      </c>
      <c r="E22" s="201">
        <v>0</v>
      </c>
      <c r="F22" s="201">
        <v>0</v>
      </c>
      <c r="G22" s="201">
        <v>0</v>
      </c>
      <c r="H22" s="201">
        <v>0</v>
      </c>
      <c r="I22" s="201">
        <v>0</v>
      </c>
      <c r="J22" s="201">
        <v>0</v>
      </c>
      <c r="K22" s="201">
        <v>0</v>
      </c>
      <c r="L22" s="201">
        <v>0</v>
      </c>
      <c r="M22" s="201">
        <v>0</v>
      </c>
      <c r="N22" s="201">
        <v>0</v>
      </c>
      <c r="O22" s="199"/>
      <c r="Q22" s="200" t="s">
        <v>119</v>
      </c>
      <c r="S22" s="201">
        <v>0</v>
      </c>
      <c r="T22" s="201">
        <v>0</v>
      </c>
      <c r="U22" s="201">
        <v>0</v>
      </c>
      <c r="V22" s="199"/>
    </row>
    <row r="23" spans="2:22">
      <c r="B23" s="204" t="s">
        <v>120</v>
      </c>
      <c r="D23" s="205">
        <v>0</v>
      </c>
      <c r="E23" s="205">
        <v>0</v>
      </c>
      <c r="F23" s="205">
        <v>0</v>
      </c>
      <c r="G23" s="205">
        <v>0</v>
      </c>
      <c r="H23" s="205">
        <v>0</v>
      </c>
      <c r="I23" s="205">
        <v>0</v>
      </c>
      <c r="J23" s="205">
        <v>0</v>
      </c>
      <c r="K23" s="205">
        <v>0</v>
      </c>
      <c r="L23" s="205">
        <v>0</v>
      </c>
      <c r="M23" s="205">
        <v>0</v>
      </c>
      <c r="N23" s="205">
        <v>0</v>
      </c>
      <c r="O23" s="199"/>
      <c r="Q23" s="204" t="s">
        <v>120</v>
      </c>
      <c r="S23" s="205">
        <v>0</v>
      </c>
      <c r="T23" s="205">
        <v>0</v>
      </c>
      <c r="U23" s="205">
        <v>0</v>
      </c>
      <c r="V23" s="199"/>
    </row>
    <row r="24" spans="2:22">
      <c r="B24" s="204" t="s">
        <v>121</v>
      </c>
      <c r="D24" s="205">
        <v>0</v>
      </c>
      <c r="E24" s="205">
        <v>0</v>
      </c>
      <c r="F24" s="205">
        <v>0</v>
      </c>
      <c r="G24" s="205">
        <v>0</v>
      </c>
      <c r="H24" s="205">
        <v>0</v>
      </c>
      <c r="I24" s="205">
        <v>0</v>
      </c>
      <c r="J24" s="205">
        <v>0</v>
      </c>
      <c r="K24" s="205">
        <v>0</v>
      </c>
      <c r="L24" s="205">
        <v>0</v>
      </c>
      <c r="M24" s="205">
        <v>0</v>
      </c>
      <c r="N24" s="205">
        <v>0</v>
      </c>
      <c r="O24" s="199"/>
      <c r="Q24" s="204" t="s">
        <v>121</v>
      </c>
      <c r="S24" s="205">
        <v>0</v>
      </c>
      <c r="T24" s="205">
        <v>0</v>
      </c>
      <c r="U24" s="205">
        <v>0</v>
      </c>
      <c r="V24" s="199"/>
    </row>
    <row r="25" spans="2:22">
      <c r="B25" s="200" t="s">
        <v>122</v>
      </c>
      <c r="D25" s="201">
        <v>-18556</v>
      </c>
      <c r="E25" s="201">
        <v>-24020</v>
      </c>
      <c r="F25" s="201">
        <v>-16832</v>
      </c>
      <c r="G25" s="201">
        <v>-19082</v>
      </c>
      <c r="H25" s="201">
        <v>-28011</v>
      </c>
      <c r="I25" s="201">
        <v>-45414</v>
      </c>
      <c r="J25" s="201">
        <v>-33803</v>
      </c>
      <c r="K25" s="201">
        <v>-36440</v>
      </c>
      <c r="L25" s="201">
        <v>-43199</v>
      </c>
      <c r="M25" s="201">
        <v>-44938</v>
      </c>
      <c r="N25" s="201">
        <v>-63243</v>
      </c>
      <c r="O25" s="199"/>
      <c r="Q25" s="200" t="s">
        <v>122</v>
      </c>
      <c r="S25" s="201">
        <v>-39539</v>
      </c>
      <c r="T25" s="201">
        <v>-78490</v>
      </c>
      <c r="U25" s="201">
        <v>-143668</v>
      </c>
      <c r="V25" s="199"/>
    </row>
    <row r="26" spans="2:22">
      <c r="B26" s="204" t="s">
        <v>123</v>
      </c>
      <c r="D26" s="205">
        <v>-18556</v>
      </c>
      <c r="E26" s="205">
        <v>-24020</v>
      </c>
      <c r="F26" s="205">
        <v>-16832</v>
      </c>
      <c r="G26" s="205">
        <v>-19082</v>
      </c>
      <c r="H26" s="205">
        <v>-28011</v>
      </c>
      <c r="I26" s="205">
        <v>-45414</v>
      </c>
      <c r="J26" s="205">
        <v>-33803</v>
      </c>
      <c r="K26" s="205">
        <v>-36440</v>
      </c>
      <c r="L26" s="205">
        <v>-43199</v>
      </c>
      <c r="M26" s="205">
        <v>-44938</v>
      </c>
      <c r="N26" s="205">
        <v>-63243</v>
      </c>
      <c r="O26" s="199"/>
      <c r="Q26" s="204" t="s">
        <v>123</v>
      </c>
      <c r="S26" s="205">
        <v>-39539</v>
      </c>
      <c r="T26" s="205">
        <v>-78490</v>
      </c>
      <c r="U26" s="205">
        <v>-143668</v>
      </c>
      <c r="V26" s="199"/>
    </row>
    <row r="27" spans="2:22">
      <c r="B27" s="204" t="s">
        <v>124</v>
      </c>
      <c r="D27" s="205">
        <v>0</v>
      </c>
      <c r="E27" s="205">
        <v>0</v>
      </c>
      <c r="F27" s="205">
        <v>0</v>
      </c>
      <c r="G27" s="205">
        <v>0</v>
      </c>
      <c r="H27" s="205">
        <v>0</v>
      </c>
      <c r="I27" s="205">
        <v>0</v>
      </c>
      <c r="J27" s="205">
        <v>0</v>
      </c>
      <c r="K27" s="205">
        <v>0</v>
      </c>
      <c r="L27" s="205">
        <v>0</v>
      </c>
      <c r="M27" s="205">
        <v>0</v>
      </c>
      <c r="N27" s="205">
        <v>0</v>
      </c>
      <c r="O27" s="199"/>
      <c r="Q27" s="204" t="s">
        <v>124</v>
      </c>
      <c r="S27" s="205">
        <v>0</v>
      </c>
      <c r="T27" s="205">
        <v>0</v>
      </c>
      <c r="U27" s="205">
        <v>0</v>
      </c>
      <c r="V27" s="199"/>
    </row>
    <row r="28" spans="2:22">
      <c r="B28" s="200" t="s">
        <v>96</v>
      </c>
      <c r="D28" s="201">
        <v>0</v>
      </c>
      <c r="E28" s="201">
        <v>0</v>
      </c>
      <c r="F28" s="201">
        <v>0</v>
      </c>
      <c r="G28" s="201">
        <v>0</v>
      </c>
      <c r="H28" s="201">
        <v>0</v>
      </c>
      <c r="I28" s="201">
        <v>0</v>
      </c>
      <c r="J28" s="201">
        <v>0</v>
      </c>
      <c r="K28" s="201">
        <v>0</v>
      </c>
      <c r="L28" s="201">
        <v>0</v>
      </c>
      <c r="M28" s="201">
        <v>0</v>
      </c>
      <c r="N28" s="201">
        <v>0</v>
      </c>
      <c r="O28" s="199"/>
      <c r="Q28" s="200" t="s">
        <v>96</v>
      </c>
      <c r="S28" s="201">
        <v>0</v>
      </c>
      <c r="T28" s="201">
        <v>0</v>
      </c>
      <c r="U28" s="201">
        <v>0</v>
      </c>
      <c r="V28" s="199"/>
    </row>
    <row r="29" spans="2:22">
      <c r="B29" s="200" t="s">
        <v>125</v>
      </c>
      <c r="D29" s="201">
        <v>0</v>
      </c>
      <c r="E29" s="201">
        <v>0</v>
      </c>
      <c r="F29" s="201">
        <v>0</v>
      </c>
      <c r="G29" s="201">
        <v>0</v>
      </c>
      <c r="H29" s="201">
        <v>0</v>
      </c>
      <c r="I29" s="201">
        <v>0</v>
      </c>
      <c r="J29" s="201">
        <v>0</v>
      </c>
      <c r="K29" s="201">
        <v>0</v>
      </c>
      <c r="L29" s="201">
        <v>0</v>
      </c>
      <c r="M29" s="201">
        <v>0</v>
      </c>
      <c r="N29" s="201">
        <v>0</v>
      </c>
      <c r="O29" s="199"/>
      <c r="Q29" s="200" t="s">
        <v>125</v>
      </c>
      <c r="S29" s="201">
        <v>0</v>
      </c>
      <c r="T29" s="201">
        <v>0</v>
      </c>
      <c r="U29" s="201">
        <v>0</v>
      </c>
      <c r="V29" s="199"/>
    </row>
    <row r="30" spans="2:22">
      <c r="B30" s="200" t="s">
        <v>126</v>
      </c>
      <c r="D30" s="201">
        <v>0</v>
      </c>
      <c r="E30" s="201">
        <v>0</v>
      </c>
      <c r="F30" s="201">
        <v>0</v>
      </c>
      <c r="G30" s="201">
        <v>0</v>
      </c>
      <c r="H30" s="201">
        <v>0</v>
      </c>
      <c r="I30" s="201">
        <v>0</v>
      </c>
      <c r="J30" s="201">
        <v>0</v>
      </c>
      <c r="K30" s="201">
        <v>0</v>
      </c>
      <c r="L30" s="201">
        <v>0</v>
      </c>
      <c r="M30" s="201">
        <v>0</v>
      </c>
      <c r="N30" s="201">
        <v>0</v>
      </c>
      <c r="O30" s="199"/>
      <c r="Q30" s="200" t="s">
        <v>126</v>
      </c>
      <c r="S30" s="201">
        <v>0</v>
      </c>
      <c r="T30" s="201">
        <v>0</v>
      </c>
      <c r="U30" s="201">
        <v>0</v>
      </c>
      <c r="V30" s="199"/>
    </row>
    <row r="31" spans="2:22">
      <c r="B31" s="200" t="s">
        <v>97</v>
      </c>
      <c r="D31" s="201">
        <v>0</v>
      </c>
      <c r="E31" s="201">
        <v>0</v>
      </c>
      <c r="F31" s="201">
        <v>0</v>
      </c>
      <c r="G31" s="201">
        <v>0</v>
      </c>
      <c r="H31" s="201">
        <v>0</v>
      </c>
      <c r="I31" s="201">
        <v>-6670</v>
      </c>
      <c r="J31" s="201">
        <v>0</v>
      </c>
      <c r="K31" s="201">
        <v>6670</v>
      </c>
      <c r="L31" s="201">
        <v>0</v>
      </c>
      <c r="M31" s="201">
        <v>0</v>
      </c>
      <c r="N31" s="201">
        <v>0</v>
      </c>
      <c r="O31" s="199"/>
      <c r="Q31" s="200" t="s">
        <v>97</v>
      </c>
      <c r="S31" s="201">
        <v>0</v>
      </c>
      <c r="T31" s="201">
        <v>0</v>
      </c>
      <c r="U31" s="201">
        <v>0</v>
      </c>
      <c r="V31" s="199"/>
    </row>
    <row r="32" spans="2:22">
      <c r="B32" s="200" t="s">
        <v>127</v>
      </c>
      <c r="D32" s="201">
        <v>0</v>
      </c>
      <c r="E32" s="201">
        <v>0</v>
      </c>
      <c r="F32" s="201">
        <v>0</v>
      </c>
      <c r="G32" s="201">
        <v>0</v>
      </c>
      <c r="H32" s="201">
        <v>0</v>
      </c>
      <c r="I32" s="201">
        <v>0</v>
      </c>
      <c r="J32" s="201">
        <v>0</v>
      </c>
      <c r="K32" s="201">
        <v>0</v>
      </c>
      <c r="L32" s="201">
        <v>0</v>
      </c>
      <c r="M32" s="201">
        <v>0</v>
      </c>
      <c r="N32" s="201">
        <v>0</v>
      </c>
      <c r="O32" s="199"/>
      <c r="Q32" s="200" t="s">
        <v>127</v>
      </c>
      <c r="S32" s="201">
        <v>0</v>
      </c>
      <c r="T32" s="201">
        <v>0</v>
      </c>
      <c r="U32" s="201">
        <v>0</v>
      </c>
      <c r="V32" s="199"/>
    </row>
    <row r="33" spans="2:22">
      <c r="B33" s="200" t="s">
        <v>128</v>
      </c>
      <c r="D33" s="201">
        <v>0</v>
      </c>
      <c r="E33" s="201">
        <v>0</v>
      </c>
      <c r="F33" s="201">
        <v>0</v>
      </c>
      <c r="G33" s="201">
        <v>0</v>
      </c>
      <c r="H33" s="201">
        <v>0</v>
      </c>
      <c r="I33" s="201">
        <v>-6670</v>
      </c>
      <c r="J33" s="201">
        <v>0</v>
      </c>
      <c r="K33" s="201">
        <v>6670</v>
      </c>
      <c r="L33" s="201">
        <v>0</v>
      </c>
      <c r="M33" s="201">
        <v>0</v>
      </c>
      <c r="N33" s="201">
        <v>0</v>
      </c>
      <c r="O33" s="199"/>
      <c r="Q33" s="200" t="s">
        <v>128</v>
      </c>
      <c r="S33" s="201">
        <v>0</v>
      </c>
      <c r="T33" s="201">
        <v>0</v>
      </c>
      <c r="U33" s="201">
        <v>0</v>
      </c>
      <c r="V33" s="199"/>
    </row>
    <row r="34" spans="2:22">
      <c r="B34" s="200" t="s">
        <v>129</v>
      </c>
      <c r="D34" s="201">
        <v>0</v>
      </c>
      <c r="E34" s="201">
        <v>0</v>
      </c>
      <c r="F34" s="201">
        <v>0</v>
      </c>
      <c r="G34" s="201">
        <v>0</v>
      </c>
      <c r="H34" s="201">
        <v>0</v>
      </c>
      <c r="I34" s="201">
        <v>0</v>
      </c>
      <c r="J34" s="201">
        <v>0</v>
      </c>
      <c r="K34" s="201">
        <v>0</v>
      </c>
      <c r="L34" s="201">
        <v>0</v>
      </c>
      <c r="M34" s="201">
        <v>0</v>
      </c>
      <c r="N34" s="201">
        <v>0</v>
      </c>
      <c r="O34" s="199"/>
      <c r="Q34" s="200" t="s">
        <v>129</v>
      </c>
      <c r="S34" s="201">
        <v>0</v>
      </c>
      <c r="T34" s="201">
        <v>0</v>
      </c>
      <c r="U34" s="201">
        <v>0</v>
      </c>
      <c r="V34" s="199"/>
    </row>
    <row r="35" spans="2:22">
      <c r="B35" s="200" t="s">
        <v>98</v>
      </c>
      <c r="D35" s="201">
        <v>0</v>
      </c>
      <c r="E35" s="201">
        <v>0</v>
      </c>
      <c r="F35" s="201">
        <v>-1416</v>
      </c>
      <c r="G35" s="201">
        <v>1416</v>
      </c>
      <c r="H35" s="201">
        <v>0</v>
      </c>
      <c r="I35" s="201">
        <v>0</v>
      </c>
      <c r="J35" s="201">
        <v>0</v>
      </c>
      <c r="K35" s="201">
        <v>-6670</v>
      </c>
      <c r="L35" s="201">
        <v>0</v>
      </c>
      <c r="M35" s="201">
        <v>1108</v>
      </c>
      <c r="N35" s="201">
        <v>1469</v>
      </c>
      <c r="O35" s="199"/>
      <c r="Q35" s="200" t="s">
        <v>98</v>
      </c>
      <c r="S35" s="201">
        <v>-8151</v>
      </c>
      <c r="T35" s="201">
        <v>0</v>
      </c>
      <c r="U35" s="201">
        <v>-6670</v>
      </c>
      <c r="V35" s="199"/>
    </row>
    <row r="36" spans="2:22">
      <c r="B36" s="200" t="s">
        <v>93</v>
      </c>
      <c r="D36" s="201">
        <v>0</v>
      </c>
      <c r="E36" s="201">
        <v>0</v>
      </c>
      <c r="F36" s="201">
        <v>0</v>
      </c>
      <c r="G36" s="201">
        <v>0</v>
      </c>
      <c r="H36" s="201">
        <v>0</v>
      </c>
      <c r="I36" s="201">
        <v>0</v>
      </c>
      <c r="J36" s="201">
        <v>0</v>
      </c>
      <c r="K36" s="201">
        <v>0</v>
      </c>
      <c r="L36" s="201">
        <v>0</v>
      </c>
      <c r="M36" s="201">
        <v>0</v>
      </c>
      <c r="N36" s="201">
        <v>0</v>
      </c>
      <c r="O36" s="199"/>
      <c r="Q36" s="200" t="s">
        <v>93</v>
      </c>
      <c r="S36" s="201">
        <v>0</v>
      </c>
      <c r="T36" s="201">
        <v>0</v>
      </c>
      <c r="U36" s="201">
        <v>0</v>
      </c>
      <c r="V36" s="199"/>
    </row>
    <row r="37" spans="2:22">
      <c r="B37" s="197" t="s">
        <v>94</v>
      </c>
      <c r="D37" s="203">
        <v>-18556</v>
      </c>
      <c r="E37" s="203">
        <v>-24020</v>
      </c>
      <c r="F37" s="203">
        <v>-18248</v>
      </c>
      <c r="G37" s="203">
        <v>-17666</v>
      </c>
      <c r="H37" s="203">
        <v>-28011</v>
      </c>
      <c r="I37" s="203">
        <v>-52084</v>
      </c>
      <c r="J37" s="203">
        <v>-33803</v>
      </c>
      <c r="K37" s="203">
        <v>-36440</v>
      </c>
      <c r="L37" s="203">
        <v>-43199</v>
      </c>
      <c r="M37" s="203">
        <v>-43830</v>
      </c>
      <c r="N37" s="203">
        <v>-61774</v>
      </c>
      <c r="O37" s="199"/>
      <c r="Q37" s="197" t="s">
        <v>94</v>
      </c>
      <c r="S37" s="203">
        <v>-47690</v>
      </c>
      <c r="T37" s="203">
        <v>-78490</v>
      </c>
      <c r="U37" s="203">
        <v>-150338</v>
      </c>
      <c r="V37" s="199"/>
    </row>
    <row r="38" spans="2:22">
      <c r="B38" s="197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199"/>
      <c r="Q38" s="197"/>
      <c r="S38" s="203"/>
      <c r="T38" s="203"/>
      <c r="U38" s="203"/>
      <c r="V38" s="199"/>
    </row>
    <row r="39" spans="2:22">
      <c r="B39" s="197" t="s">
        <v>99</v>
      </c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199"/>
      <c r="Q39" s="197" t="s">
        <v>99</v>
      </c>
      <c r="S39" s="203"/>
      <c r="T39" s="203"/>
      <c r="U39" s="203"/>
      <c r="V39" s="199"/>
    </row>
    <row r="40" spans="2:22">
      <c r="B40" s="200" t="s">
        <v>100</v>
      </c>
      <c r="D40" s="201">
        <v>0</v>
      </c>
      <c r="E40" s="201">
        <v>0</v>
      </c>
      <c r="F40" s="201">
        <v>0</v>
      </c>
      <c r="G40" s="201">
        <v>0</v>
      </c>
      <c r="H40" s="201">
        <v>0</v>
      </c>
      <c r="I40" s="201">
        <v>-2904</v>
      </c>
      <c r="J40" s="201">
        <v>-1375</v>
      </c>
      <c r="K40" s="201">
        <v>-340</v>
      </c>
      <c r="L40" s="201">
        <v>0</v>
      </c>
      <c r="M40" s="201">
        <v>0</v>
      </c>
      <c r="N40" s="201">
        <v>0</v>
      </c>
      <c r="O40" s="199"/>
      <c r="Q40" s="200" t="s">
        <v>100</v>
      </c>
      <c r="S40" s="201">
        <v>0</v>
      </c>
      <c r="T40" s="201">
        <v>0</v>
      </c>
      <c r="U40" s="201">
        <v>-4619</v>
      </c>
      <c r="V40" s="199"/>
    </row>
    <row r="41" spans="2:22">
      <c r="B41" s="200" t="s">
        <v>101</v>
      </c>
      <c r="D41" s="201">
        <v>44163</v>
      </c>
      <c r="E41" s="201">
        <v>-7636</v>
      </c>
      <c r="F41" s="201">
        <v>-6757</v>
      </c>
      <c r="G41" s="201">
        <v>53709</v>
      </c>
      <c r="H41" s="201">
        <v>98432</v>
      </c>
      <c r="I41" s="201">
        <v>-137</v>
      </c>
      <c r="J41" s="201">
        <v>352305</v>
      </c>
      <c r="K41" s="201">
        <v>-502429</v>
      </c>
      <c r="L41" s="201">
        <v>234811</v>
      </c>
      <c r="M41" s="201">
        <v>-497452</v>
      </c>
      <c r="N41" s="201">
        <v>578756</v>
      </c>
      <c r="O41" s="199"/>
      <c r="Q41" s="200" t="s">
        <v>101</v>
      </c>
      <c r="S41" s="201">
        <v>122613</v>
      </c>
      <c r="T41" s="201">
        <v>83479</v>
      </c>
      <c r="U41" s="201">
        <v>-51829</v>
      </c>
      <c r="V41" s="199"/>
    </row>
    <row r="42" spans="2:22">
      <c r="B42" s="200" t="s">
        <v>102</v>
      </c>
      <c r="D42" s="201">
        <v>0</v>
      </c>
      <c r="E42" s="201">
        <v>0</v>
      </c>
      <c r="F42" s="201">
        <v>206351</v>
      </c>
      <c r="G42" s="201">
        <v>98577</v>
      </c>
      <c r="H42" s="201">
        <v>0</v>
      </c>
      <c r="I42" s="201">
        <v>169</v>
      </c>
      <c r="J42" s="201">
        <v>473</v>
      </c>
      <c r="K42" s="201">
        <v>172428</v>
      </c>
      <c r="L42" s="201">
        <v>0</v>
      </c>
      <c r="M42" s="201">
        <v>798</v>
      </c>
      <c r="N42" s="201">
        <v>294753</v>
      </c>
      <c r="O42" s="199"/>
      <c r="Q42" s="200" t="s">
        <v>102</v>
      </c>
      <c r="S42" s="201">
        <v>0</v>
      </c>
      <c r="T42" s="201">
        <v>304928</v>
      </c>
      <c r="U42" s="201">
        <v>173070</v>
      </c>
      <c r="V42" s="199"/>
    </row>
    <row r="43" spans="2:22">
      <c r="B43" s="200" t="s">
        <v>130</v>
      </c>
      <c r="D43" s="201">
        <v>0</v>
      </c>
      <c r="E43" s="201">
        <v>0</v>
      </c>
      <c r="F43" s="201">
        <v>206351</v>
      </c>
      <c r="G43" s="201">
        <v>98577</v>
      </c>
      <c r="H43" s="201">
        <v>0</v>
      </c>
      <c r="I43" s="201">
        <v>169</v>
      </c>
      <c r="J43" s="201">
        <v>473</v>
      </c>
      <c r="K43" s="201">
        <v>172428</v>
      </c>
      <c r="L43" s="201">
        <v>0</v>
      </c>
      <c r="M43" s="201">
        <v>798</v>
      </c>
      <c r="N43" s="201">
        <v>298305</v>
      </c>
      <c r="O43" s="199"/>
      <c r="Q43" s="200" t="s">
        <v>130</v>
      </c>
      <c r="S43" s="201">
        <v>0</v>
      </c>
      <c r="T43" s="201">
        <v>304928</v>
      </c>
      <c r="U43" s="201">
        <v>173070</v>
      </c>
      <c r="V43" s="199"/>
    </row>
    <row r="44" spans="2:22">
      <c r="B44" s="200" t="s">
        <v>131</v>
      </c>
      <c r="D44" s="201">
        <v>0</v>
      </c>
      <c r="E44" s="201">
        <v>0</v>
      </c>
      <c r="F44" s="201">
        <v>0</v>
      </c>
      <c r="G44" s="201">
        <v>0</v>
      </c>
      <c r="H44" s="201">
        <v>0</v>
      </c>
      <c r="I44" s="201">
        <v>0</v>
      </c>
      <c r="J44" s="201">
        <v>0</v>
      </c>
      <c r="K44" s="201">
        <v>0</v>
      </c>
      <c r="L44" s="201">
        <v>0</v>
      </c>
      <c r="M44" s="201">
        <v>0</v>
      </c>
      <c r="N44" s="201">
        <v>-3552</v>
      </c>
      <c r="O44" s="199"/>
      <c r="Q44" s="200" t="s">
        <v>131</v>
      </c>
      <c r="S44" s="201">
        <v>0</v>
      </c>
      <c r="T44" s="201">
        <v>0</v>
      </c>
      <c r="U44" s="201">
        <v>0</v>
      </c>
      <c r="V44" s="199"/>
    </row>
    <row r="45" spans="2:22">
      <c r="B45" s="200" t="s">
        <v>103</v>
      </c>
      <c r="D45" s="201">
        <v>-2376</v>
      </c>
      <c r="E45" s="201">
        <v>175038</v>
      </c>
      <c r="F45" s="201">
        <v>-167602</v>
      </c>
      <c r="G45" s="201">
        <v>22620</v>
      </c>
      <c r="H45" s="201">
        <v>13830</v>
      </c>
      <c r="I45" s="201">
        <v>180615</v>
      </c>
      <c r="J45" s="201">
        <v>7507</v>
      </c>
      <c r="K45" s="201">
        <v>147690</v>
      </c>
      <c r="L45" s="201">
        <v>41243</v>
      </c>
      <c r="M45" s="201">
        <v>556150</v>
      </c>
      <c r="N45" s="201">
        <v>-605816</v>
      </c>
      <c r="O45" s="199"/>
      <c r="Q45" s="200" t="s">
        <v>103</v>
      </c>
      <c r="S45" s="201">
        <v>161352</v>
      </c>
      <c r="T45" s="201">
        <v>27680</v>
      </c>
      <c r="U45" s="201">
        <v>349642</v>
      </c>
      <c r="V45" s="199"/>
    </row>
    <row r="46" spans="2:22">
      <c r="B46" s="200" t="s">
        <v>93</v>
      </c>
      <c r="D46" s="201">
        <v>0</v>
      </c>
      <c r="E46" s="201">
        <v>0</v>
      </c>
      <c r="F46" s="201">
        <v>0</v>
      </c>
      <c r="G46" s="201">
        <v>0</v>
      </c>
      <c r="H46" s="201">
        <v>0</v>
      </c>
      <c r="I46" s="201">
        <v>0</v>
      </c>
      <c r="J46" s="201">
        <v>0</v>
      </c>
      <c r="K46" s="201">
        <v>0</v>
      </c>
      <c r="L46" s="201">
        <v>0</v>
      </c>
      <c r="M46" s="201">
        <v>0</v>
      </c>
      <c r="N46" s="201">
        <v>0</v>
      </c>
      <c r="O46" s="199"/>
      <c r="Q46" s="200" t="s">
        <v>93</v>
      </c>
      <c r="S46" s="201">
        <v>0</v>
      </c>
      <c r="T46" s="201">
        <v>0</v>
      </c>
      <c r="U46" s="201">
        <v>0</v>
      </c>
      <c r="V46" s="199"/>
    </row>
    <row r="47" spans="2:22">
      <c r="B47" s="197" t="s">
        <v>99</v>
      </c>
      <c r="D47" s="203">
        <v>41787</v>
      </c>
      <c r="E47" s="203">
        <v>167402</v>
      </c>
      <c r="F47" s="203">
        <v>31992</v>
      </c>
      <c r="G47" s="203">
        <v>174906</v>
      </c>
      <c r="H47" s="203">
        <v>112262</v>
      </c>
      <c r="I47" s="203">
        <v>177743</v>
      </c>
      <c r="J47" s="203">
        <v>358910</v>
      </c>
      <c r="K47" s="203">
        <v>-182651</v>
      </c>
      <c r="L47" s="203">
        <v>276054</v>
      </c>
      <c r="M47" s="203">
        <v>59496</v>
      </c>
      <c r="N47" s="203">
        <v>267693</v>
      </c>
      <c r="O47" s="199"/>
      <c r="Q47" s="197" t="s">
        <v>99</v>
      </c>
      <c r="S47" s="203">
        <v>283965</v>
      </c>
      <c r="T47" s="203">
        <v>416087</v>
      </c>
      <c r="U47" s="203">
        <v>466264</v>
      </c>
      <c r="V47" s="199"/>
    </row>
    <row r="48" spans="2:22">
      <c r="B48" s="197"/>
      <c r="D48" s="203"/>
      <c r="E48" s="203"/>
      <c r="F48" s="203"/>
      <c r="G48" s="203"/>
      <c r="H48" s="203"/>
      <c r="I48" s="203"/>
      <c r="J48" s="203"/>
      <c r="K48" s="203"/>
      <c r="L48" s="203"/>
      <c r="M48" s="203"/>
      <c r="N48" s="203"/>
      <c r="O48" s="199"/>
      <c r="Q48" s="197"/>
      <c r="S48" s="203"/>
      <c r="T48" s="203"/>
      <c r="U48" s="203"/>
      <c r="V48" s="199"/>
    </row>
    <row r="49" spans="2:24">
      <c r="B49" s="200" t="s">
        <v>104</v>
      </c>
      <c r="D49" s="201">
        <v>0</v>
      </c>
      <c r="E49" s="201">
        <v>0</v>
      </c>
      <c r="F49" s="201">
        <v>0</v>
      </c>
      <c r="G49" s="201">
        <v>0</v>
      </c>
      <c r="H49" s="201">
        <v>0</v>
      </c>
      <c r="I49" s="201">
        <v>0</v>
      </c>
      <c r="J49" s="201">
        <v>0</v>
      </c>
      <c r="K49" s="201">
        <v>0</v>
      </c>
      <c r="L49" s="201">
        <v>0</v>
      </c>
      <c r="M49" s="201">
        <v>0</v>
      </c>
      <c r="N49" s="201">
        <v>0</v>
      </c>
      <c r="O49" s="199"/>
      <c r="Q49" s="200" t="s">
        <v>104</v>
      </c>
      <c r="S49" s="201">
        <v>0</v>
      </c>
      <c r="T49" s="201">
        <v>0</v>
      </c>
      <c r="U49" s="201">
        <v>0</v>
      </c>
      <c r="V49" s="199"/>
    </row>
    <row r="50" spans="2:24">
      <c r="B50" s="197"/>
      <c r="D50" s="203"/>
      <c r="E50" s="203"/>
      <c r="F50" s="203"/>
      <c r="G50" s="203"/>
      <c r="H50" s="203"/>
      <c r="I50" s="203"/>
      <c r="J50" s="203"/>
      <c r="K50" s="203"/>
      <c r="L50" s="203"/>
      <c r="M50" s="203"/>
      <c r="N50" s="203"/>
      <c r="O50" s="199"/>
      <c r="Q50" s="197"/>
      <c r="S50" s="203"/>
      <c r="T50" s="203"/>
      <c r="U50" s="203"/>
      <c r="V50" s="199"/>
    </row>
    <row r="51" spans="2:24">
      <c r="B51" s="197" t="s">
        <v>105</v>
      </c>
      <c r="D51" s="203">
        <v>-29655</v>
      </c>
      <c r="E51" s="203">
        <v>134977</v>
      </c>
      <c r="F51" s="203">
        <v>-40979</v>
      </c>
      <c r="G51" s="203">
        <v>73330</v>
      </c>
      <c r="H51" s="203">
        <v>-47198</v>
      </c>
      <c r="I51" s="203">
        <v>77623</v>
      </c>
      <c r="J51" s="203">
        <v>240717</v>
      </c>
      <c r="K51" s="203">
        <v>-369556</v>
      </c>
      <c r="L51" s="203">
        <v>18346</v>
      </c>
      <c r="M51" s="203">
        <v>-64659</v>
      </c>
      <c r="N51" s="203">
        <v>66078</v>
      </c>
      <c r="O51" s="199"/>
      <c r="Q51" s="197" t="s">
        <v>105</v>
      </c>
      <c r="S51" s="203">
        <v>-3950</v>
      </c>
      <c r="T51" s="203">
        <v>137673</v>
      </c>
      <c r="U51" s="203">
        <v>-98414</v>
      </c>
      <c r="V51" s="199"/>
    </row>
    <row r="52" spans="2:24">
      <c r="B52" s="197"/>
      <c r="D52" s="203"/>
      <c r="E52" s="203"/>
      <c r="F52" s="203"/>
      <c r="G52" s="203"/>
      <c r="H52" s="203"/>
      <c r="I52" s="203"/>
      <c r="J52" s="203"/>
      <c r="K52" s="203"/>
      <c r="L52" s="203"/>
      <c r="M52" s="203"/>
      <c r="N52" s="203"/>
      <c r="O52" s="199"/>
      <c r="Q52" s="197"/>
      <c r="S52" s="203"/>
      <c r="T52" s="203"/>
      <c r="U52" s="203"/>
      <c r="V52" s="199"/>
    </row>
    <row r="53" spans="2:24">
      <c r="B53" s="197" t="s">
        <v>106</v>
      </c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199"/>
      <c r="Q53" s="197" t="s">
        <v>106</v>
      </c>
      <c r="S53" s="203">
        <v>0</v>
      </c>
      <c r="T53" s="203">
        <v>0</v>
      </c>
      <c r="U53" s="203">
        <v>0</v>
      </c>
      <c r="V53" s="199"/>
    </row>
    <row r="54" spans="2:24">
      <c r="B54" s="197"/>
      <c r="D54" s="203"/>
      <c r="E54" s="203"/>
      <c r="F54" s="203"/>
      <c r="G54" s="203"/>
      <c r="H54" s="203"/>
      <c r="I54" s="203"/>
      <c r="J54" s="203"/>
      <c r="K54" s="203"/>
      <c r="L54" s="203"/>
      <c r="M54" s="203"/>
      <c r="N54" s="203"/>
      <c r="O54" s="199"/>
      <c r="Q54" s="197"/>
      <c r="S54" s="203"/>
      <c r="T54" s="203"/>
      <c r="U54" s="203"/>
      <c r="V54" s="199"/>
    </row>
    <row r="55" spans="2:24">
      <c r="B55" s="197" t="s">
        <v>107</v>
      </c>
      <c r="O55" s="199"/>
      <c r="Q55" s="197" t="s">
        <v>107</v>
      </c>
      <c r="S55" s="203"/>
      <c r="T55" s="203"/>
      <c r="U55" s="203"/>
      <c r="V55" s="199"/>
    </row>
    <row r="56" spans="2:24">
      <c r="B56" s="200" t="s">
        <v>108</v>
      </c>
      <c r="D56" s="201">
        <v>-34101</v>
      </c>
      <c r="E56" s="201">
        <v>-33388</v>
      </c>
      <c r="F56" s="201">
        <v>-35159</v>
      </c>
      <c r="G56" s="201">
        <v>-41093</v>
      </c>
      <c r="H56" s="201">
        <v>-44347</v>
      </c>
      <c r="I56" s="201">
        <v>-41360</v>
      </c>
      <c r="J56" s="201">
        <v>-52023</v>
      </c>
      <c r="K56" s="201">
        <v>-67280</v>
      </c>
      <c r="L56" s="201">
        <v>-58766</v>
      </c>
      <c r="M56" s="201">
        <v>-30298</v>
      </c>
      <c r="N56" s="201">
        <v>-54416</v>
      </c>
      <c r="O56" s="199"/>
      <c r="Q56" s="200" t="s">
        <v>108</v>
      </c>
      <c r="S56" s="201">
        <v>-84821</v>
      </c>
      <c r="T56" s="201">
        <v>-143741</v>
      </c>
      <c r="U56" s="201">
        <v>-205010</v>
      </c>
      <c r="V56" s="199"/>
    </row>
    <row r="57" spans="2:24">
      <c r="B57" s="200" t="s">
        <v>109</v>
      </c>
      <c r="D57" s="206">
        <v>-22.849513999999999</v>
      </c>
      <c r="E57" s="206">
        <v>-20.928429999999999</v>
      </c>
      <c r="F57" s="206">
        <v>-19.307666000000001</v>
      </c>
      <c r="G57" s="206">
        <v>-16.736059999999998</v>
      </c>
      <c r="H57" s="206">
        <v>-14.524075</v>
      </c>
      <c r="I57" s="206">
        <v>-12.212813000000001</v>
      </c>
      <c r="J57" s="206">
        <v>-10.932626000000001</v>
      </c>
      <c r="K57" s="206">
        <v>-10.483941</v>
      </c>
      <c r="L57" s="206">
        <v>-9.3362960000000008</v>
      </c>
      <c r="M57" s="206">
        <v>-7.2824679999999997</v>
      </c>
      <c r="N57" s="206">
        <v>-6.16</v>
      </c>
      <c r="O57" s="199"/>
      <c r="Q57" s="200" t="s">
        <v>109</v>
      </c>
      <c r="S57" s="207">
        <v>-23.229210999999999</v>
      </c>
      <c r="T57" s="207">
        <v>-16.736059999999998</v>
      </c>
      <c r="U57" s="207">
        <v>-10.483941</v>
      </c>
      <c r="V57" s="199"/>
    </row>
    <row r="58" spans="2:24">
      <c r="B58" s="172" t="s">
        <v>135</v>
      </c>
      <c r="C58" s="200"/>
      <c r="D58" s="201">
        <v>0</v>
      </c>
      <c r="E58" s="201">
        <v>0</v>
      </c>
      <c r="F58" s="201">
        <v>0</v>
      </c>
      <c r="G58" s="201">
        <v>0</v>
      </c>
      <c r="H58" s="201">
        <v>0</v>
      </c>
      <c r="I58" s="201">
        <v>0</v>
      </c>
      <c r="J58" s="201">
        <v>6670</v>
      </c>
      <c r="K58" s="201">
        <v>0</v>
      </c>
      <c r="L58" s="201">
        <v>0</v>
      </c>
      <c r="M58" s="201">
        <v>0</v>
      </c>
      <c r="N58" s="201">
        <v>0</v>
      </c>
      <c r="O58" s="199"/>
      <c r="Q58" s="200" t="s">
        <v>110</v>
      </c>
      <c r="S58" s="201">
        <v>-279764</v>
      </c>
      <c r="T58" s="201">
        <v>-278414</v>
      </c>
      <c r="U58" s="201">
        <v>-558008</v>
      </c>
      <c r="V58" s="199"/>
    </row>
    <row r="59" spans="2:24">
      <c r="B59" s="200" t="s">
        <v>110</v>
      </c>
      <c r="C59" s="200"/>
      <c r="D59" s="201">
        <v>-71442</v>
      </c>
      <c r="E59" s="201">
        <v>-32425</v>
      </c>
      <c r="F59" s="201">
        <v>-71555</v>
      </c>
      <c r="G59" s="201">
        <v>-102992</v>
      </c>
      <c r="H59" s="201">
        <v>-159460</v>
      </c>
      <c r="I59" s="201">
        <v>-93450</v>
      </c>
      <c r="J59" s="201">
        <v>-118193</v>
      </c>
      <c r="K59" s="201">
        <v>-186905</v>
      </c>
      <c r="L59" s="201">
        <v>-257708</v>
      </c>
      <c r="M59" s="201">
        <v>-125263</v>
      </c>
      <c r="N59" s="201">
        <v>-203084</v>
      </c>
      <c r="O59" s="199"/>
      <c r="Q59" s="200" t="s">
        <v>111</v>
      </c>
      <c r="S59" s="201">
        <v>-225176</v>
      </c>
      <c r="T59" s="201">
        <v>-95348</v>
      </c>
      <c r="U59" s="201">
        <v>-715423</v>
      </c>
      <c r="V59" s="199"/>
    </row>
    <row r="60" spans="2:24">
      <c r="B60" s="200" t="s">
        <v>111</v>
      </c>
      <c r="C60" s="200"/>
      <c r="D60" s="201">
        <v>230954</v>
      </c>
      <c r="E60" s="201">
        <v>-298294</v>
      </c>
      <c r="F60" s="201">
        <v>-78312</v>
      </c>
      <c r="G60" s="201">
        <v>50304</v>
      </c>
      <c r="H60" s="201">
        <v>-65246</v>
      </c>
      <c r="I60" s="201">
        <v>-93469</v>
      </c>
      <c r="J60" s="201">
        <v>157882</v>
      </c>
      <c r="K60" s="201">
        <v>-714590</v>
      </c>
      <c r="L60" s="201">
        <v>-22897</v>
      </c>
      <c r="M60" s="201">
        <v>-622715</v>
      </c>
      <c r="N60" s="201">
        <v>375672</v>
      </c>
      <c r="O60" s="199"/>
      <c r="Q60" s="200" t="s">
        <v>112</v>
      </c>
      <c r="S60" s="208">
        <v>-2.0431170000000001</v>
      </c>
      <c r="T60" s="208">
        <v>-18.267437000000001</v>
      </c>
      <c r="U60" s="208">
        <v>-18.573644000000002</v>
      </c>
      <c r="V60" s="209"/>
      <c r="W60" s="210"/>
      <c r="X60" s="210"/>
    </row>
    <row r="61" spans="2:24">
      <c r="B61" s="200" t="s">
        <v>112</v>
      </c>
      <c r="C61" s="200"/>
      <c r="D61" s="208">
        <v>-0.69169099999999994</v>
      </c>
      <c r="E61" s="208">
        <v>-2.1579259999999998</v>
      </c>
      <c r="F61" s="208">
        <v>-4.7560650000000004</v>
      </c>
      <c r="G61" s="208">
        <v>-6.4811529999999999</v>
      </c>
      <c r="H61" s="208">
        <v>-8.6918129999999998</v>
      </c>
      <c r="I61" s="208">
        <v>-3.363931</v>
      </c>
      <c r="J61" s="208">
        <v>-3.410561</v>
      </c>
      <c r="K61" s="208">
        <v>-4.744745</v>
      </c>
      <c r="L61" s="208">
        <v>-6.232056</v>
      </c>
      <c r="M61" s="208">
        <v>-2.7208610000000002</v>
      </c>
      <c r="N61" s="208">
        <v>-4.08</v>
      </c>
      <c r="O61" s="199"/>
    </row>
  </sheetData>
  <mergeCells count="2">
    <mergeCell ref="B5:C5"/>
    <mergeCell ref="Q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ValuationOutput</vt:lpstr>
      <vt:lpstr>EV Sales</vt:lpstr>
      <vt:lpstr>DCF</vt:lpstr>
      <vt:lpstr>NWC</vt:lpstr>
      <vt:lpstr>WACC</vt:lpstr>
      <vt:lpstr>AS1</vt:lpstr>
      <vt:lpstr>AS2</vt:lpstr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Gattis</dc:creator>
  <cp:lastModifiedBy>Caleb Gattis</cp:lastModifiedBy>
  <cp:lastPrinted>2020-02-14T18:54:20Z</cp:lastPrinted>
  <dcterms:created xsi:type="dcterms:W3CDTF">2019-10-28T20:08:37Z</dcterms:created>
  <dcterms:modified xsi:type="dcterms:W3CDTF">2020-02-26T00:15:21Z</dcterms:modified>
</cp:coreProperties>
</file>