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fen/OneDrive/temp/"/>
    </mc:Choice>
  </mc:AlternateContent>
  <xr:revisionPtr revIDLastSave="0" documentId="13_ncr:1_{07307928-140B-D44A-8FAA-1B8BA6A1B82A}" xr6:coauthVersionLast="46" xr6:coauthVersionMax="46" xr10:uidLastSave="{00000000-0000-0000-0000-000000000000}"/>
  <bookViews>
    <workbookView xWindow="0" yWindow="500" windowWidth="25600" windowHeight="15500" xr2:uid="{ECD4E107-0A81-5245-ADF3-A76E55029F6B}"/>
  </bookViews>
  <sheets>
    <sheet name="Sheet1" sheetId="1" r:id="rId1"/>
  </sheets>
  <calcPr calcId="191028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K11" i="1"/>
  <c r="K10" i="1"/>
  <c r="K12" i="1"/>
  <c r="K13" i="1"/>
  <c r="K14" i="1"/>
  <c r="K15" i="1"/>
  <c r="K16" i="1"/>
  <c r="K17" i="1"/>
  <c r="K18" i="1"/>
  <c r="K19" i="1"/>
  <c r="K20" i="1"/>
  <c r="K21" i="1"/>
  <c r="F10" i="1"/>
  <c r="I10" i="1" s="1"/>
  <c r="F12" i="1"/>
  <c r="G12" i="1" s="1"/>
  <c r="F13" i="1"/>
  <c r="F14" i="1"/>
  <c r="F15" i="1"/>
  <c r="G15" i="1" s="1"/>
  <c r="J15" i="1" s="1"/>
  <c r="F16" i="1"/>
  <c r="G16" i="1" s="1"/>
  <c r="F17" i="1"/>
  <c r="F18" i="1"/>
  <c r="F19" i="1"/>
  <c r="I19" i="1" s="1"/>
  <c r="F20" i="1"/>
  <c r="H20" i="1" s="1"/>
  <c r="F21" i="1"/>
  <c r="H13" i="1"/>
  <c r="G10" i="1"/>
  <c r="R10" i="1"/>
  <c r="L10" i="1"/>
  <c r="I13" i="1"/>
  <c r="G13" i="1"/>
  <c r="J13" i="1" s="1"/>
  <c r="H11" i="1"/>
  <c r="I11" i="1"/>
  <c r="G11" i="1"/>
  <c r="H12" i="1"/>
  <c r="R11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R12" i="1"/>
  <c r="R13" i="1"/>
  <c r="R14" i="1"/>
  <c r="R15" i="1"/>
  <c r="R16" i="1"/>
  <c r="H15" i="1"/>
  <c r="I14" i="1"/>
  <c r="R17" i="1"/>
  <c r="R18" i="1"/>
  <c r="R19" i="1"/>
  <c r="R20" i="1"/>
  <c r="R21" i="1"/>
  <c r="G17" i="1"/>
  <c r="I21" i="1"/>
  <c r="I20" i="1"/>
  <c r="I18" i="1"/>
  <c r="G21" i="1"/>
  <c r="C25" i="1"/>
  <c r="E25" i="1"/>
  <c r="D25" i="1"/>
  <c r="F25" i="1"/>
  <c r="G25" i="1"/>
  <c r="G20" i="1"/>
  <c r="I15" i="1"/>
  <c r="R22" i="1"/>
  <c r="I25" i="1" s="1"/>
  <c r="I17" i="1"/>
  <c r="J11" i="1"/>
  <c r="H21" i="1"/>
  <c r="J21" i="1"/>
  <c r="G14" i="1"/>
  <c r="J14" i="1" s="1"/>
  <c r="H17" i="1"/>
  <c r="H14" i="1"/>
  <c r="G18" i="1"/>
  <c r="J18" i="1" s="1"/>
  <c r="H18" i="1"/>
  <c r="I16" i="1"/>
  <c r="H19" i="1"/>
  <c r="J17" i="1"/>
  <c r="J16" i="1" l="1"/>
  <c r="J12" i="1"/>
  <c r="J20" i="1"/>
  <c r="H16" i="1"/>
  <c r="G19" i="1"/>
  <c r="J19" i="1" s="1"/>
  <c r="H10" i="1"/>
  <c r="J10" i="1" s="1"/>
  <c r="I12" i="1"/>
  <c r="S25" i="1" l="1"/>
  <c r="P10" i="1"/>
  <c r="P11" i="1" l="1"/>
  <c r="M10" i="1"/>
  <c r="N10" i="1" l="1"/>
  <c r="Q10" i="1" s="1"/>
  <c r="S10" i="1" s="1"/>
  <c r="O10" i="1"/>
  <c r="P12" i="1"/>
  <c r="M11" i="1"/>
  <c r="T10" i="1" l="1"/>
  <c r="N11" i="1"/>
  <c r="O11" i="1"/>
  <c r="Q11" i="1"/>
  <c r="S11" i="1" s="1"/>
  <c r="T11" i="1" s="1"/>
  <c r="M12" i="1"/>
  <c r="P13" i="1"/>
  <c r="N12" i="1" l="1"/>
  <c r="O12" i="1"/>
  <c r="Q12" i="1" s="1"/>
  <c r="S12" i="1" s="1"/>
  <c r="P14" i="1"/>
  <c r="M13" i="1"/>
  <c r="T12" i="1" l="1"/>
  <c r="N13" i="1"/>
  <c r="O13" i="1"/>
  <c r="P15" i="1"/>
  <c r="M14" i="1"/>
  <c r="Q13" i="1" l="1"/>
  <c r="S13" i="1" s="1"/>
  <c r="T13" i="1" s="1"/>
  <c r="N14" i="1"/>
  <c r="O14" i="1"/>
  <c r="P16" i="1"/>
  <c r="M15" i="1"/>
  <c r="Q14" i="1" l="1"/>
  <c r="S14" i="1" s="1"/>
  <c r="T14" i="1"/>
  <c r="P17" i="1"/>
  <c r="M16" i="1"/>
  <c r="N15" i="1"/>
  <c r="O15" i="1"/>
  <c r="Q15" i="1"/>
  <c r="S15" i="1" s="1"/>
  <c r="T15" i="1" s="1"/>
  <c r="N16" i="1" l="1"/>
  <c r="O16" i="1"/>
  <c r="P18" i="1"/>
  <c r="M17" i="1"/>
  <c r="Q16" i="1" l="1"/>
  <c r="S16" i="1" s="1"/>
  <c r="T16" i="1" s="1"/>
  <c r="N17" i="1"/>
  <c r="Q17" i="1" s="1"/>
  <c r="S17" i="1" s="1"/>
  <c r="T17" i="1" s="1"/>
  <c r="O17" i="1"/>
  <c r="P19" i="1"/>
  <c r="M18" i="1"/>
  <c r="O18" i="1" l="1"/>
  <c r="N18" i="1"/>
  <c r="Q18" i="1" s="1"/>
  <c r="S18" i="1" s="1"/>
  <c r="T18" i="1" s="1"/>
  <c r="P20" i="1"/>
  <c r="M19" i="1"/>
  <c r="N19" i="1" l="1"/>
  <c r="O19" i="1"/>
  <c r="M20" i="1"/>
  <c r="P21" i="1"/>
  <c r="M21" i="1" s="1"/>
  <c r="Q19" i="1" l="1"/>
  <c r="S19" i="1" s="1"/>
  <c r="T19" i="1" s="1"/>
  <c r="O20" i="1"/>
  <c r="N20" i="1"/>
  <c r="Q20" i="1" s="1"/>
  <c r="S20" i="1" s="1"/>
  <c r="T20" i="1" s="1"/>
  <c r="O21" i="1"/>
  <c r="N21" i="1"/>
  <c r="Q21" i="1" l="1"/>
  <c r="S21" i="1"/>
  <c r="T21" i="1" l="1"/>
  <c r="T22" i="1" s="1"/>
  <c r="J25" i="1" s="1"/>
  <c r="S22" i="1"/>
  <c r="K25" i="1" s="1"/>
  <c r="T25" i="1" l="1"/>
  <c r="R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chou calfen</author>
  </authors>
  <commentList>
    <comment ref="C9" authorId="0" shapeId="0" xr:uid="{42E97C93-83C5-E24D-9328-EA25E631F6E3}">
      <text>
        <r>
          <rPr>
            <b/>
            <sz val="10"/>
            <color rgb="FF000000"/>
            <rFont val="Microsoft YaHei UI"/>
          </rPr>
          <t>chou calfen: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>不计入公积金，计入奖金</t>
        </r>
      </text>
    </comment>
    <comment ref="F9" authorId="0" shapeId="0" xr:uid="{BFB4FC86-2CCE-5040-BB61-7E3374A1DBBB}">
      <text>
        <r>
          <rPr>
            <b/>
            <sz val="10"/>
            <color rgb="FF000000"/>
            <rFont val="Microsoft YaHei UI"/>
          </rPr>
          <t>chou calfen: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>如果您社保基数和工资不一样，请自己填写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>否则以第一个月为准</t>
        </r>
      </text>
    </comment>
    <comment ref="A23" authorId="0" shapeId="0" xr:uid="{411EF5DA-959F-0D47-A611-0670BA82F1BA}">
      <text>
        <r>
          <rPr>
            <b/>
            <sz val="10"/>
            <color rgb="FF000000"/>
            <rFont val="Microsoft YaHei UI"/>
            <charset val="1"/>
          </rPr>
          <t>chou calfen: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>纳税人在</t>
        </r>
        <r>
          <rPr>
            <sz val="10"/>
            <color rgb="FF000000"/>
            <rFont val="Microsoft YaHei UI"/>
            <charset val="1"/>
          </rPr>
          <t>2019</t>
        </r>
        <r>
          <rPr>
            <sz val="10"/>
            <color rgb="FF000000"/>
            <rFont val="等线"/>
            <family val="4"/>
            <charset val="134"/>
          </rPr>
          <t>年</t>
        </r>
        <r>
          <rPr>
            <sz val="10"/>
            <color rgb="FF000000"/>
            <rFont val="Microsoft YaHei UI"/>
            <charset val="1"/>
          </rPr>
          <t>1</t>
        </r>
        <r>
          <rPr>
            <sz val="10"/>
            <color rgb="FF000000"/>
            <rFont val="等线"/>
            <family val="4"/>
            <charset val="134"/>
          </rPr>
          <t>月</t>
        </r>
        <r>
          <rPr>
            <sz val="10"/>
            <color rgb="FF000000"/>
            <rFont val="Microsoft YaHei UI"/>
            <charset val="1"/>
          </rPr>
          <t>1</t>
        </r>
        <r>
          <rPr>
            <sz val="10"/>
            <color rgb="FF000000"/>
            <rFont val="等线"/>
            <family val="4"/>
            <charset val="134"/>
          </rPr>
          <t>日至</t>
        </r>
        <r>
          <rPr>
            <sz val="10"/>
            <color rgb="FF000000"/>
            <rFont val="Microsoft YaHei UI"/>
            <charset val="1"/>
          </rPr>
          <t>2021</t>
        </r>
        <r>
          <rPr>
            <sz val="10"/>
            <color rgb="FF000000"/>
            <rFont val="等线"/>
            <family val="4"/>
            <charset val="134"/>
          </rPr>
          <t>年</t>
        </r>
        <r>
          <rPr>
            <sz val="10"/>
            <color rgb="FF000000"/>
            <rFont val="Microsoft YaHei UI"/>
            <charset val="1"/>
          </rPr>
          <t>12</t>
        </r>
        <r>
          <rPr>
            <sz val="10"/>
            <color rgb="FF000000"/>
            <rFont val="等线"/>
            <family val="4"/>
            <charset val="134"/>
          </rPr>
          <t>月</t>
        </r>
        <r>
          <rPr>
            <sz val="10"/>
            <color rgb="FF000000"/>
            <rFont val="Microsoft YaHei UI"/>
            <charset val="1"/>
          </rPr>
          <t>31</t>
        </r>
        <r>
          <rPr>
            <sz val="10"/>
            <color rgb="FF000000"/>
            <rFont val="等线"/>
            <family val="4"/>
            <charset val="134"/>
          </rPr>
          <t>日期间取得的全年一次性奖金，可以不并入当年综合所得，单独计算纳税。</t>
        </r>
      </text>
    </comment>
  </commentList>
</comments>
</file>

<file path=xl/sharedStrings.xml><?xml version="1.0" encoding="utf-8"?>
<sst xmlns="http://schemas.openxmlformats.org/spreadsheetml/2006/main" count="51" uniqueCount="44">
  <si>
    <t>月工资</t>
    <phoneticPr fontId="1" type="noConversion"/>
  </si>
  <si>
    <t>住房公积金</t>
    <phoneticPr fontId="1" type="noConversion"/>
  </si>
  <si>
    <t>三金总和</t>
    <phoneticPr fontId="1" type="noConversion"/>
  </si>
  <si>
    <t>月份</t>
    <phoneticPr fontId="1" type="noConversion"/>
  </si>
  <si>
    <t>累计收入</t>
    <phoneticPr fontId="1" type="noConversion"/>
  </si>
  <si>
    <t>本月奖金</t>
    <phoneticPr fontId="1" type="noConversion"/>
  </si>
  <si>
    <t>累计应税额</t>
    <phoneticPr fontId="1" type="noConversion"/>
  </si>
  <si>
    <t>预扣税率</t>
    <phoneticPr fontId="1" type="noConversion"/>
  </si>
  <si>
    <t>速算扣除数</t>
    <phoneticPr fontId="1" type="noConversion"/>
  </si>
  <si>
    <t>累计抵扣</t>
    <phoneticPr fontId="1" type="noConversion"/>
  </si>
  <si>
    <t>累计预扣税</t>
    <phoneticPr fontId="1" type="noConversion"/>
  </si>
  <si>
    <t>本月扣税</t>
    <phoneticPr fontId="1" type="noConversion"/>
  </si>
  <si>
    <t>本月实发</t>
    <phoneticPr fontId="1" type="noConversion"/>
  </si>
  <si>
    <t>奖金数</t>
    <phoneticPr fontId="1" type="noConversion"/>
  </si>
  <si>
    <t>税后奖金</t>
    <phoneticPr fontId="1" type="noConversion"/>
  </si>
  <si>
    <t>每月收入</t>
    <phoneticPr fontId="1" type="noConversion"/>
  </si>
  <si>
    <t>应税</t>
    <phoneticPr fontId="1" type="noConversion"/>
  </si>
  <si>
    <t>按月应税</t>
    <phoneticPr fontId="1" type="noConversion"/>
  </si>
  <si>
    <t>个税免税额</t>
    <phoneticPr fontId="1" type="noConversion"/>
  </si>
  <si>
    <t>调整前上限</t>
    <phoneticPr fontId="1" type="noConversion"/>
  </si>
  <si>
    <t>调整后上限</t>
    <phoneticPr fontId="1" type="noConversion"/>
  </si>
  <si>
    <t>下限</t>
    <phoneticPr fontId="1" type="noConversion"/>
  </si>
  <si>
    <t>开始调整月份</t>
    <phoneticPr fontId="1" type="noConversion"/>
  </si>
  <si>
    <t>月补贴</t>
    <phoneticPr fontId="1" type="noConversion"/>
  </si>
  <si>
    <t>养老</t>
    <phoneticPr fontId="1" type="noConversion"/>
  </si>
  <si>
    <t>医疗</t>
    <phoneticPr fontId="1" type="noConversion"/>
  </si>
  <si>
    <t>失业</t>
    <phoneticPr fontId="1" type="noConversion"/>
  </si>
  <si>
    <t>总收入</t>
    <phoneticPr fontId="1" type="noConversion"/>
  </si>
  <si>
    <t>专项扣减</t>
    <phoneticPr fontId="1" type="noConversion"/>
  </si>
  <si>
    <t>适应税率</t>
    <phoneticPr fontId="1" type="noConversion"/>
  </si>
  <si>
    <t>上海政策</t>
    <phoneticPr fontId="1" type="noConversion"/>
  </si>
  <si>
    <t>全年税后</t>
    <phoneticPr fontId="1" type="noConversion"/>
  </si>
  <si>
    <t>全年交税</t>
    <phoneticPr fontId="1" type="noConversion"/>
  </si>
  <si>
    <t>本月社保基数</t>
    <phoneticPr fontId="1" type="noConversion"/>
  </si>
  <si>
    <t>个人收入占公司支出比</t>
    <phoneticPr fontId="1" type="noConversion"/>
  </si>
  <si>
    <t>全年收入</t>
    <phoneticPr fontId="1" type="noConversion"/>
  </si>
  <si>
    <t>公积金个人部分</t>
    <phoneticPr fontId="1" type="noConversion"/>
  </si>
  <si>
    <t>不确定就空着</t>
    <phoneticPr fontId="1" type="noConversion"/>
  </si>
  <si>
    <t>公司成本</t>
    <phoneticPr fontId="1" type="noConversion"/>
  </si>
  <si>
    <t>收入占个人比</t>
    <phoneticPr fontId="1" type="noConversion"/>
  </si>
  <si>
    <t>注：2021年7月做社保和公积金调整</t>
    <phoneticPr fontId="1" type="noConversion"/>
  </si>
  <si>
    <t>全年一次性奖金交税（单独扣税）</t>
    <phoneticPr fontId="1" type="noConversion"/>
  </si>
  <si>
    <t>你的2019平均工资（上半年社保基数）</t>
    <phoneticPr fontId="1" type="noConversion"/>
  </si>
  <si>
    <t>你的2020平均工资（下半年社保基数）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</si>
</sst>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¥&quot;#,##0.00_);[Red]\(&quot;¥&quot;#,##0.00\)"/>
    <numFmt numFmtId="176" formatCode="&quot;¥&quot;#,##0.00"/>
    <numFmt numFmtId="177" formatCode="&quot;¥&quot;#,##0.0"/>
    <numFmt numFmtId="178" formatCode="&quot;¥&quot;#,##0"/>
    <numFmt numFmtId="179" formatCode="#,##0_ 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sz val="12"/>
      <color rgb="FF333333"/>
      <name val="Microsoft YaHei"/>
      <family val="2"/>
      <charset val="134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2"/>
      <charset val="134"/>
      <scheme val="minor"/>
    </font>
    <font>
      <sz val="10"/>
      <color rgb="FF000000"/>
      <name val="等线"/>
      <family val="4"/>
      <charset val="134"/>
    </font>
    <font>
      <b/>
      <sz val="10"/>
      <color rgb="FF000000"/>
      <name val="Microsoft YaHei UI"/>
    </font>
    <font>
      <sz val="12"/>
      <color theme="5"/>
      <name val="等线"/>
      <family val="4"/>
      <charset val="134"/>
      <scheme val="minor"/>
    </font>
    <font>
      <sz val="12"/>
      <color theme="5"/>
      <name val="等线"/>
      <family val="2"/>
      <charset val="134"/>
      <scheme val="minor"/>
    </font>
    <font>
      <sz val="10"/>
      <color rgb="FF000000"/>
      <name val="Microsoft YaHei UI"/>
    </font>
    <font>
      <b/>
      <sz val="10"/>
      <color rgb="FF000000"/>
      <name val="Microsoft YaHei UI"/>
      <charset val="1"/>
    </font>
    <font>
      <sz val="10"/>
      <color rgb="FF000000"/>
      <name val="Microsoft YaHei UI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8" fontId="2" fillId="0" borderId="1" xfId="0" applyNumberFormat="1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right" vertical="center"/>
    </xf>
    <xf numFmtId="177" fontId="2" fillId="6" borderId="1" xfId="0" applyNumberFormat="1" applyFont="1" applyFill="1" applyBorder="1">
      <alignment vertical="center"/>
    </xf>
    <xf numFmtId="178" fontId="2" fillId="6" borderId="1" xfId="0" applyNumberFormat="1" applyFont="1" applyFill="1" applyBorder="1">
      <alignment vertical="center"/>
    </xf>
    <xf numFmtId="179" fontId="2" fillId="6" borderId="1" xfId="0" applyNumberFormat="1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5" fillId="3" borderId="1" xfId="2" applyBorder="1">
      <alignment vertical="center"/>
    </xf>
    <xf numFmtId="0" fontId="5" fillId="4" borderId="1" xfId="3" applyBorder="1">
      <alignment vertical="center"/>
    </xf>
    <xf numFmtId="0" fontId="5" fillId="5" borderId="1" xfId="4" applyBorder="1">
      <alignment vertical="center"/>
    </xf>
    <xf numFmtId="176" fontId="5" fillId="3" borderId="1" xfId="2" applyNumberFormat="1" applyBorder="1">
      <alignment vertical="center"/>
    </xf>
    <xf numFmtId="176" fontId="5" fillId="4" borderId="1" xfId="3" applyNumberFormat="1" applyBorder="1">
      <alignment vertical="center"/>
    </xf>
    <xf numFmtId="10" fontId="5" fillId="4" borderId="1" xfId="3" applyNumberFormat="1" applyBorder="1">
      <alignment vertical="center"/>
    </xf>
    <xf numFmtId="176" fontId="5" fillId="5" borderId="1" xfId="4" applyNumberFormat="1" applyBorder="1">
      <alignment vertical="center"/>
    </xf>
    <xf numFmtId="0" fontId="2" fillId="6" borderId="2" xfId="0" applyFont="1" applyFill="1" applyBorder="1" applyAlignment="1">
      <alignment horizontal="right" vertical="center"/>
    </xf>
    <xf numFmtId="176" fontId="5" fillId="5" borderId="4" xfId="4" applyNumberFormat="1" applyBorder="1">
      <alignment vertical="center"/>
    </xf>
    <xf numFmtId="40" fontId="5" fillId="3" borderId="1" xfId="2" applyNumberFormat="1" applyBorder="1">
      <alignment vertical="center"/>
    </xf>
    <xf numFmtId="0" fontId="5" fillId="7" borderId="1" xfId="2" applyFill="1" applyBorder="1">
      <alignment vertical="center"/>
    </xf>
    <xf numFmtId="176" fontId="5" fillId="7" borderId="1" xfId="2" applyNumberFormat="1" applyFill="1" applyBorder="1">
      <alignment vertical="center"/>
    </xf>
    <xf numFmtId="177" fontId="0" fillId="0" borderId="0" xfId="0" applyNumberFormat="1">
      <alignment vertical="center"/>
    </xf>
    <xf numFmtId="0" fontId="9" fillId="2" borderId="1" xfId="1" applyFont="1" applyBorder="1">
      <alignment vertical="center"/>
    </xf>
    <xf numFmtId="176" fontId="8" fillId="2" borderId="1" xfId="1" applyNumberFormat="1" applyFont="1" applyBorder="1">
      <alignment vertical="center"/>
    </xf>
    <xf numFmtId="8" fontId="8" fillId="8" borderId="1" xfId="0" applyNumberFormat="1" applyFont="1" applyFill="1" applyBorder="1">
      <alignment vertical="center"/>
    </xf>
    <xf numFmtId="8" fontId="8" fillId="8" borderId="5" xfId="0" applyNumberFormat="1" applyFont="1" applyFill="1" applyBorder="1">
      <alignment vertical="center"/>
    </xf>
    <xf numFmtId="0" fontId="2" fillId="6" borderId="3" xfId="0" applyFont="1" applyFill="1" applyBorder="1">
      <alignment vertical="center"/>
    </xf>
    <xf numFmtId="9" fontId="2" fillId="6" borderId="4" xfId="0" applyNumberFormat="1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6" borderId="6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</cellXfs>
  <cellStyles count="5">
    <cellStyle name="40% - 着色 1" xfId="1" builtinId="31"/>
    <cellStyle name="40% - 着色 3" xfId="2" builtinId="39"/>
    <cellStyle name="40% - 着色 4" xfId="3" builtinId="43"/>
    <cellStyle name="40% - 着色 6" xfId="4" builtinId="5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2E87-E87E-9343-B928-B81F866E88D7}">
  <dimension ref="A1:AC28"/>
  <sheetViews>
    <sheetView tabSelected="1" zoomScale="110" workbookViewId="0">
      <selection activeCell="E15" sqref="E15"/>
    </sheetView>
  </sheetViews>
  <sheetFormatPr baseColWidth="10" defaultColWidth="11" defaultRowHeight="16"/>
  <cols>
    <col min="1" max="1" width="6.33203125" customWidth="1"/>
    <col min="2" max="2" width="12.33203125" bestFit="1" customWidth="1"/>
    <col min="3" max="3" width="12.33203125" customWidth="1"/>
    <col min="4" max="4" width="11.83203125" customWidth="1"/>
    <col min="5" max="5" width="13.33203125" customWidth="1"/>
    <col min="6" max="6" width="14.1640625" bestFit="1" customWidth="1"/>
    <col min="7" max="7" width="12.1640625" customWidth="1"/>
    <col min="8" max="8" width="19.6640625" customWidth="1"/>
    <col min="9" max="9" width="12.33203125" customWidth="1"/>
    <col min="10" max="10" width="12.5" customWidth="1"/>
    <col min="11" max="11" width="11.83203125" customWidth="1"/>
    <col min="12" max="17" width="12.1640625" hidden="1" customWidth="1"/>
    <col min="18" max="19" width="12.33203125" customWidth="1"/>
    <col min="20" max="20" width="13" customWidth="1"/>
    <col min="21" max="21" width="11.33203125" bestFit="1" customWidth="1"/>
    <col min="22" max="22" width="11.5" bestFit="1" customWidth="1"/>
    <col min="23" max="23" width="11.33203125" bestFit="1" customWidth="1"/>
    <col min="24" max="24" width="14.5" bestFit="1" customWidth="1"/>
    <col min="25" max="25" width="19.83203125" customWidth="1"/>
    <col min="26" max="26" width="10.5" bestFit="1" customWidth="1"/>
    <col min="27" max="28" width="11" bestFit="1" customWidth="1"/>
    <col min="29" max="29" width="11.33203125" bestFit="1" customWidth="1"/>
  </cols>
  <sheetData>
    <row r="1" spans="1:29" ht="16" customHeight="1">
      <c r="A1" s="36" t="s">
        <v>30</v>
      </c>
      <c r="B1" t="s">
        <v>40</v>
      </c>
      <c r="G1" t="s">
        <v>37</v>
      </c>
    </row>
    <row r="2" spans="1:29">
      <c r="A2" s="37"/>
      <c r="B2" s="22" t="s">
        <v>19</v>
      </c>
      <c r="C2" s="7">
        <v>28017</v>
      </c>
      <c r="D2" s="10" t="s">
        <v>36</v>
      </c>
      <c r="E2" s="6" t="s">
        <v>19</v>
      </c>
      <c r="F2" s="8">
        <v>1961</v>
      </c>
      <c r="G2" s="39" t="s">
        <v>43</v>
      </c>
      <c r="H2" s="40"/>
      <c r="I2" s="5" t="s">
        <v>18</v>
      </c>
    </row>
    <row r="3" spans="1:29">
      <c r="A3" s="37"/>
      <c r="B3" s="22" t="s">
        <v>21</v>
      </c>
      <c r="C3" s="7">
        <v>4927</v>
      </c>
      <c r="D3" s="32"/>
      <c r="E3" s="6" t="s">
        <v>21</v>
      </c>
      <c r="F3" s="8">
        <v>169</v>
      </c>
      <c r="G3" s="31">
        <v>4000</v>
      </c>
      <c r="I3" s="4">
        <v>5000</v>
      </c>
    </row>
    <row r="4" spans="1:29">
      <c r="A4" s="37"/>
      <c r="B4" s="22" t="s">
        <v>22</v>
      </c>
      <c r="C4" s="6">
        <v>7</v>
      </c>
      <c r="D4" s="33">
        <v>7.0000000000000007E-2</v>
      </c>
      <c r="E4" s="6" t="s">
        <v>22</v>
      </c>
      <c r="F4" s="9">
        <v>7</v>
      </c>
      <c r="G4" s="39" t="s">
        <v>42</v>
      </c>
      <c r="H4" s="40"/>
    </row>
    <row r="5" spans="1:29">
      <c r="A5" s="37"/>
      <c r="B5" s="22" t="s">
        <v>20</v>
      </c>
      <c r="C5" s="7">
        <v>28017</v>
      </c>
      <c r="D5" s="34"/>
      <c r="E5" s="6" t="s">
        <v>20</v>
      </c>
      <c r="F5" s="8">
        <v>1961</v>
      </c>
      <c r="G5" s="30">
        <v>4000</v>
      </c>
    </row>
    <row r="6" spans="1:29">
      <c r="A6" s="38"/>
      <c r="B6" s="22" t="s">
        <v>21</v>
      </c>
      <c r="C6" s="7">
        <v>4927</v>
      </c>
      <c r="D6" s="35"/>
      <c r="E6" s="6" t="s">
        <v>21</v>
      </c>
      <c r="F6" s="8">
        <v>174</v>
      </c>
    </row>
    <row r="8" spans="1:29">
      <c r="A8" t="s">
        <v>15</v>
      </c>
    </row>
    <row r="9" spans="1:29">
      <c r="A9" s="14" t="s">
        <v>3</v>
      </c>
      <c r="B9" s="28" t="s">
        <v>0</v>
      </c>
      <c r="C9" s="28" t="s">
        <v>23</v>
      </c>
      <c r="D9" s="28" t="s">
        <v>5</v>
      </c>
      <c r="E9" s="28" t="s">
        <v>28</v>
      </c>
      <c r="F9" s="25" t="s">
        <v>33</v>
      </c>
      <c r="G9" s="15" t="s">
        <v>24</v>
      </c>
      <c r="H9" s="15" t="s">
        <v>25</v>
      </c>
      <c r="I9" s="15" t="s">
        <v>26</v>
      </c>
      <c r="J9" s="15" t="s">
        <v>2</v>
      </c>
      <c r="K9" s="15" t="s">
        <v>1</v>
      </c>
      <c r="L9" s="16" t="s">
        <v>4</v>
      </c>
      <c r="M9" s="16" t="s">
        <v>6</v>
      </c>
      <c r="N9" s="16" t="s">
        <v>7</v>
      </c>
      <c r="O9" s="16" t="s">
        <v>8</v>
      </c>
      <c r="P9" s="16" t="s">
        <v>9</v>
      </c>
      <c r="Q9" s="16" t="s">
        <v>10</v>
      </c>
      <c r="R9" s="17" t="s">
        <v>27</v>
      </c>
      <c r="S9" s="17" t="s">
        <v>11</v>
      </c>
      <c r="T9" s="17" t="s">
        <v>12</v>
      </c>
    </row>
    <row r="10" spans="1:29">
      <c r="A10" s="14">
        <v>1</v>
      </c>
      <c r="B10" s="29">
        <v>8600</v>
      </c>
      <c r="C10" s="29">
        <v>400</v>
      </c>
      <c r="D10" s="29">
        <v>0</v>
      </c>
      <c r="E10" s="29">
        <v>0</v>
      </c>
      <c r="F10" s="26">
        <f>IF($A10&lt;$C$4,IF($G$5&gt;$C$2,$C$2,IF($G$5&lt;$C$3,$C$3,$G$5)),IF($G$3&gt;$C$5,$C$5,IF($G$3&lt;$C$6,$C$6,$G$3)))</f>
        <v>4927</v>
      </c>
      <c r="G10" s="24">
        <f t="shared" ref="G10:G13" si="0">ROUNDUP(F10*8%,1)</f>
        <v>394.2</v>
      </c>
      <c r="H10" s="24">
        <f>ROUNDUP(F10*2%,1)</f>
        <v>98.6</v>
      </c>
      <c r="I10" s="24">
        <f>ROUNDUP(F10*0.5%,1)</f>
        <v>24.7</v>
      </c>
      <c r="J10" s="18">
        <f>SUM(G10:I10)</f>
        <v>517.5</v>
      </c>
      <c r="K10" s="15">
        <f>IF(A10&lt;$F$4,IF($G$3*$D$4&gt;$F$2,$F$2,IF($G$3*$D$4&lt;$F$3,$F$3,$G$3*7%)),IF($G$3*$D$4&gt;$F$5,$F$5,IF($G$3*$D$4&lt;$F$6,$C$6,$G$3*$D$4)))</f>
        <v>280</v>
      </c>
      <c r="L10" s="19">
        <f>R10</f>
        <v>9000</v>
      </c>
      <c r="M10" s="19">
        <f t="shared" ref="M10:M21" si="1">L10-P10</f>
        <v>3202.5</v>
      </c>
      <c r="N10" s="20">
        <f>IF(M10&lt;=36000,3%,IF(M10&lt;=144000,10%,IF(M10&lt;=300000,20%,IF(M10&lt;=420000,25%,IF(M10&lt;=660000,30%,IF(M10&lt;=960000,35%,45%))))))</f>
        <v>0.03</v>
      </c>
      <c r="O10" s="19">
        <f>IF(M10&lt;=36000,0,IF(M10&lt;=144000,2520,IF(M10&lt;=300000,16920,IF(M10&lt;=420000,31920,IF(M10&lt;=660000,52920,IF(M10&lt;=960000,85920,181920))))))</f>
        <v>0</v>
      </c>
      <c r="P10" s="19">
        <f>SUM($E10,I$3,J10,K10)</f>
        <v>5797.5</v>
      </c>
      <c r="Q10" s="19">
        <f t="shared" ref="Q10:Q21" si="2">IF(M10*N10-O10&gt;0,M10*N10-O10,0)</f>
        <v>96.08</v>
      </c>
      <c r="R10" s="21">
        <f t="shared" ref="R10:R21" si="3">SUM(B10:D10)</f>
        <v>9000</v>
      </c>
      <c r="S10" s="21">
        <f>MAX(Q10-0,0)</f>
        <v>96.08</v>
      </c>
      <c r="T10" s="21">
        <f t="shared" ref="T10:T21" si="4">R10-J10-K10-S10</f>
        <v>8106.42</v>
      </c>
      <c r="W10" s="1"/>
    </row>
    <row r="11" spans="1:29">
      <c r="A11" s="14">
        <v>2</v>
      </c>
      <c r="B11" s="29">
        <v>8600</v>
      </c>
      <c r="C11" s="29">
        <v>400</v>
      </c>
      <c r="D11" s="29">
        <v>10000</v>
      </c>
      <c r="E11" s="29">
        <v>0</v>
      </c>
      <c r="F11" s="26">
        <f>IF($A11&lt;$C$4,IF($G$5&gt;$C$2,$C$2,IF($G$5&lt;$C$3,$C$3,$G$5)),IF($G$3&gt;$C$5,$C$5,IF($G$3&lt;$C$6,$C$6,$G$3)))</f>
        <v>4927</v>
      </c>
      <c r="G11" s="24">
        <f t="shared" si="0"/>
        <v>394.2</v>
      </c>
      <c r="H11" s="24">
        <f t="shared" ref="H11:H21" si="5">ROUNDUP(F11*2%,1)</f>
        <v>98.6</v>
      </c>
      <c r="I11" s="24">
        <f t="shared" ref="I11:I21" si="6">ROUNDUP(F11*0.5%,1)</f>
        <v>24.7</v>
      </c>
      <c r="J11" s="18">
        <f t="shared" ref="J11:J21" si="7">SUM(G11:I11)</f>
        <v>517.5</v>
      </c>
      <c r="K11" s="15">
        <f>IF(A11&lt;$F$4,IF($G$3*$D$4&gt;$F$2,$F$2,IF($G$3*$D$4&lt;$F$3,$F$3,$G$3*7%)),IF($G$3*$D$4&gt;$F$5,$F$5,IF($G$3*$D$4&lt;$F$6,$C$6,$G$3*$D$4)))</f>
        <v>280</v>
      </c>
      <c r="L11" s="19">
        <f t="shared" ref="L11:L21" si="8">L10+R11</f>
        <v>28000</v>
      </c>
      <c r="M11" s="19">
        <f t="shared" si="1"/>
        <v>16405</v>
      </c>
      <c r="N11" s="20">
        <f>IF(M11&lt;=36000,3%,IF(M11&lt;=144000,10%,IF(M11&lt;=300000,20%,IF(M11&lt;=420000,25%,IF(M11&lt;=660000,30%,IF(M11&lt;=960000,35%,45%))))))</f>
        <v>0.03</v>
      </c>
      <c r="O11" s="19">
        <f t="shared" ref="O11:O21" si="9">IF(M11&lt;=36000,0,IF(M11&lt;=144000,2520,IF(M11&lt;=300000,16920,IF(M11&lt;=420000,31920,IF(M11&lt;=660000,52920,IF(M11&lt;=960000,85920,181920))))))</f>
        <v>0</v>
      </c>
      <c r="P11" s="19">
        <f t="shared" ref="P11:P21" si="10">SUM($E11,I$3,J11,K11)+P10</f>
        <v>11595</v>
      </c>
      <c r="Q11" s="19">
        <f t="shared" si="2"/>
        <v>492.15</v>
      </c>
      <c r="R11" s="21">
        <f t="shared" si="3"/>
        <v>19000</v>
      </c>
      <c r="S11" s="21">
        <f>MAX(Q11-Q10,0)</f>
        <v>396.07</v>
      </c>
      <c r="T11" s="21">
        <f t="shared" si="4"/>
        <v>17806.43</v>
      </c>
      <c r="W11" s="1"/>
      <c r="X11" s="3"/>
      <c r="AC11" s="1"/>
    </row>
    <row r="12" spans="1:29">
      <c r="A12" s="14">
        <v>3</v>
      </c>
      <c r="B12" s="29">
        <v>8600</v>
      </c>
      <c r="C12" s="29">
        <v>400</v>
      </c>
      <c r="D12" s="29">
        <v>0</v>
      </c>
      <c r="E12" s="29">
        <v>0</v>
      </c>
      <c r="F12" s="26">
        <f t="shared" ref="F12:F21" si="11">IF($A12&lt;$C$4,IF($G$5&gt;$C$2,$C$2,IF($G$5&lt;$C$3,$C$3,$G$5)),IF($G$3&gt;$C$5,$C$5,IF($G$3&lt;$C$6,$C$6,$G$3)))</f>
        <v>4927</v>
      </c>
      <c r="G12" s="24">
        <f t="shared" si="0"/>
        <v>394.2</v>
      </c>
      <c r="H12" s="24">
        <f t="shared" si="5"/>
        <v>98.6</v>
      </c>
      <c r="I12" s="24">
        <f t="shared" si="6"/>
        <v>24.7</v>
      </c>
      <c r="J12" s="18">
        <f t="shared" si="7"/>
        <v>517.5</v>
      </c>
      <c r="K12" s="15">
        <f t="shared" ref="K12:K21" si="12">IF(A12&lt;$F$4,IF($G$3*$D$4&gt;$F$2,$F$2,IF($G$3*$D$4&lt;$F$3,$F$3,$G$3*7%)),IF($G$3*$D$4&gt;$F$5,$F$5,IF($G$3*$D$4&lt;$F$6,$C$6,$G$3*$D$4)))</f>
        <v>280</v>
      </c>
      <c r="L12" s="19">
        <f t="shared" si="8"/>
        <v>37000</v>
      </c>
      <c r="M12" s="19">
        <f t="shared" si="1"/>
        <v>19607.5</v>
      </c>
      <c r="N12" s="20">
        <f t="shared" ref="N12:N21" si="13">IF(M12&lt;=36000,3%,IF(M12&lt;=144000,10%,IF(M12&lt;=300000,20%,IF(M12&lt;=420000,25%,IF(M12&lt;=660000,30%,IF(M12&lt;=960000,35%,45%))))))</f>
        <v>0.03</v>
      </c>
      <c r="O12" s="19">
        <f t="shared" si="9"/>
        <v>0</v>
      </c>
      <c r="P12" s="19">
        <f t="shared" si="10"/>
        <v>17392.5</v>
      </c>
      <c r="Q12" s="19">
        <f t="shared" si="2"/>
        <v>588.23</v>
      </c>
      <c r="R12" s="21">
        <f t="shared" si="3"/>
        <v>9000</v>
      </c>
      <c r="S12" s="21">
        <f t="shared" ref="S12:S21" si="14">MAX(Q12-Q11,0)</f>
        <v>96.08</v>
      </c>
      <c r="T12" s="21">
        <f t="shared" si="4"/>
        <v>8106.42</v>
      </c>
      <c r="W12" s="1"/>
    </row>
    <row r="13" spans="1:29">
      <c r="A13" s="14">
        <v>4</v>
      </c>
      <c r="B13" s="29">
        <v>8600</v>
      </c>
      <c r="C13" s="29">
        <v>400</v>
      </c>
      <c r="D13" s="29">
        <v>0</v>
      </c>
      <c r="E13" s="29">
        <v>0</v>
      </c>
      <c r="F13" s="26">
        <f t="shared" si="11"/>
        <v>4927</v>
      </c>
      <c r="G13" s="24">
        <f t="shared" si="0"/>
        <v>394.2</v>
      </c>
      <c r="H13" s="24">
        <f t="shared" si="5"/>
        <v>98.6</v>
      </c>
      <c r="I13" s="24">
        <f t="shared" si="6"/>
        <v>24.7</v>
      </c>
      <c r="J13" s="18">
        <f t="shared" si="7"/>
        <v>517.5</v>
      </c>
      <c r="K13" s="15">
        <f t="shared" si="12"/>
        <v>280</v>
      </c>
      <c r="L13" s="19">
        <f t="shared" si="8"/>
        <v>46000</v>
      </c>
      <c r="M13" s="19">
        <f t="shared" si="1"/>
        <v>22810</v>
      </c>
      <c r="N13" s="20">
        <f t="shared" si="13"/>
        <v>0.03</v>
      </c>
      <c r="O13" s="19">
        <f t="shared" si="9"/>
        <v>0</v>
      </c>
      <c r="P13" s="19">
        <f t="shared" si="10"/>
        <v>23190</v>
      </c>
      <c r="Q13" s="19">
        <f t="shared" si="2"/>
        <v>684.3</v>
      </c>
      <c r="R13" s="21">
        <f t="shared" si="3"/>
        <v>9000</v>
      </c>
      <c r="S13" s="21">
        <f t="shared" si="14"/>
        <v>96.07</v>
      </c>
      <c r="T13" s="21">
        <f t="shared" si="4"/>
        <v>8106.43</v>
      </c>
      <c r="W13" s="1"/>
    </row>
    <row r="14" spans="1:29">
      <c r="A14" s="14">
        <v>5</v>
      </c>
      <c r="B14" s="29">
        <v>8600</v>
      </c>
      <c r="C14" s="29">
        <v>400</v>
      </c>
      <c r="D14" s="29">
        <v>0</v>
      </c>
      <c r="E14" s="29">
        <v>0</v>
      </c>
      <c r="F14" s="26">
        <f t="shared" si="11"/>
        <v>4927</v>
      </c>
      <c r="G14" s="24">
        <f>ROUNDUP(F14*8%,1)</f>
        <v>394.2</v>
      </c>
      <c r="H14" s="24">
        <f t="shared" si="5"/>
        <v>98.6</v>
      </c>
      <c r="I14" s="24">
        <f t="shared" si="6"/>
        <v>24.7</v>
      </c>
      <c r="J14" s="18">
        <f t="shared" si="7"/>
        <v>517.5</v>
      </c>
      <c r="K14" s="15">
        <f t="shared" si="12"/>
        <v>280</v>
      </c>
      <c r="L14" s="19">
        <f t="shared" si="8"/>
        <v>55000</v>
      </c>
      <c r="M14" s="19">
        <f t="shared" si="1"/>
        <v>26012.5</v>
      </c>
      <c r="N14" s="20">
        <f t="shared" si="13"/>
        <v>0.03</v>
      </c>
      <c r="O14" s="19">
        <f t="shared" si="9"/>
        <v>0</v>
      </c>
      <c r="P14" s="19">
        <f t="shared" si="10"/>
        <v>28987.5</v>
      </c>
      <c r="Q14" s="19">
        <f t="shared" si="2"/>
        <v>780.38</v>
      </c>
      <c r="R14" s="21">
        <f t="shared" si="3"/>
        <v>9000</v>
      </c>
      <c r="S14" s="21">
        <f t="shared" si="14"/>
        <v>96.08</v>
      </c>
      <c r="T14" s="21">
        <f t="shared" si="4"/>
        <v>8106.42</v>
      </c>
      <c r="W14" s="1"/>
    </row>
    <row r="15" spans="1:29">
      <c r="A15" s="14">
        <v>6</v>
      </c>
      <c r="B15" s="29">
        <v>8600</v>
      </c>
      <c r="C15" s="29">
        <v>400</v>
      </c>
      <c r="D15" s="29">
        <v>0</v>
      </c>
      <c r="E15" s="29">
        <v>0</v>
      </c>
      <c r="F15" s="26">
        <f t="shared" si="11"/>
        <v>4927</v>
      </c>
      <c r="G15" s="24">
        <f t="shared" ref="G15:G21" si="15">ROUNDUP(F15*8%,1)</f>
        <v>394.2</v>
      </c>
      <c r="H15" s="24">
        <f t="shared" si="5"/>
        <v>98.6</v>
      </c>
      <c r="I15" s="24">
        <f t="shared" si="6"/>
        <v>24.7</v>
      </c>
      <c r="J15" s="18">
        <f t="shared" si="7"/>
        <v>517.5</v>
      </c>
      <c r="K15" s="15">
        <f t="shared" si="12"/>
        <v>280</v>
      </c>
      <c r="L15" s="19">
        <f t="shared" si="8"/>
        <v>64000</v>
      </c>
      <c r="M15" s="19">
        <f t="shared" si="1"/>
        <v>29215</v>
      </c>
      <c r="N15" s="20">
        <f t="shared" si="13"/>
        <v>0.03</v>
      </c>
      <c r="O15" s="19">
        <f t="shared" si="9"/>
        <v>0</v>
      </c>
      <c r="P15" s="19">
        <f t="shared" si="10"/>
        <v>34785</v>
      </c>
      <c r="Q15" s="19">
        <f t="shared" si="2"/>
        <v>876.45</v>
      </c>
      <c r="R15" s="21">
        <f t="shared" si="3"/>
        <v>9000</v>
      </c>
      <c r="S15" s="21">
        <f t="shared" si="14"/>
        <v>96.07</v>
      </c>
      <c r="T15" s="21">
        <f t="shared" si="4"/>
        <v>8106.43</v>
      </c>
      <c r="W15" s="1"/>
    </row>
    <row r="16" spans="1:29">
      <c r="A16" s="14">
        <v>7</v>
      </c>
      <c r="B16" s="29">
        <v>8600</v>
      </c>
      <c r="C16" s="29">
        <v>400</v>
      </c>
      <c r="D16" s="29">
        <v>0</v>
      </c>
      <c r="E16" s="29">
        <v>0</v>
      </c>
      <c r="F16" s="26">
        <f t="shared" si="11"/>
        <v>4927</v>
      </c>
      <c r="G16" s="24">
        <f t="shared" si="15"/>
        <v>394.2</v>
      </c>
      <c r="H16" s="24">
        <f t="shared" si="5"/>
        <v>98.6</v>
      </c>
      <c r="I16" s="24">
        <f t="shared" si="6"/>
        <v>24.7</v>
      </c>
      <c r="J16" s="18">
        <f t="shared" si="7"/>
        <v>517.5</v>
      </c>
      <c r="K16" s="15">
        <f t="shared" si="12"/>
        <v>280</v>
      </c>
      <c r="L16" s="19">
        <f t="shared" si="8"/>
        <v>73000</v>
      </c>
      <c r="M16" s="19">
        <f t="shared" si="1"/>
        <v>32417.5</v>
      </c>
      <c r="N16" s="20">
        <f t="shared" si="13"/>
        <v>0.03</v>
      </c>
      <c r="O16" s="19">
        <f t="shared" si="9"/>
        <v>0</v>
      </c>
      <c r="P16" s="19">
        <f t="shared" si="10"/>
        <v>40582.5</v>
      </c>
      <c r="Q16" s="19">
        <f t="shared" si="2"/>
        <v>972.53</v>
      </c>
      <c r="R16" s="21">
        <f t="shared" si="3"/>
        <v>9000</v>
      </c>
      <c r="S16" s="21">
        <f t="shared" si="14"/>
        <v>96.08</v>
      </c>
      <c r="T16" s="21">
        <f t="shared" si="4"/>
        <v>8106.42</v>
      </c>
      <c r="W16" s="1"/>
    </row>
    <row r="17" spans="1:25">
      <c r="A17" s="14">
        <v>8</v>
      </c>
      <c r="B17" s="29">
        <v>8600</v>
      </c>
      <c r="C17" s="29">
        <v>400</v>
      </c>
      <c r="D17" s="29">
        <v>0</v>
      </c>
      <c r="E17" s="29">
        <v>0</v>
      </c>
      <c r="F17" s="26">
        <f t="shared" si="11"/>
        <v>4927</v>
      </c>
      <c r="G17" s="24">
        <f t="shared" si="15"/>
        <v>394.2</v>
      </c>
      <c r="H17" s="24">
        <f t="shared" si="5"/>
        <v>98.6</v>
      </c>
      <c r="I17" s="24">
        <f t="shared" si="6"/>
        <v>24.7</v>
      </c>
      <c r="J17" s="18">
        <f t="shared" si="7"/>
        <v>517.5</v>
      </c>
      <c r="K17" s="15">
        <f t="shared" si="12"/>
        <v>280</v>
      </c>
      <c r="L17" s="19">
        <f t="shared" si="8"/>
        <v>82000</v>
      </c>
      <c r="M17" s="19">
        <f t="shared" si="1"/>
        <v>35620</v>
      </c>
      <c r="N17" s="20">
        <f t="shared" si="13"/>
        <v>0.03</v>
      </c>
      <c r="O17" s="19">
        <f t="shared" si="9"/>
        <v>0</v>
      </c>
      <c r="P17" s="19">
        <f t="shared" si="10"/>
        <v>46380</v>
      </c>
      <c r="Q17" s="19">
        <f t="shared" si="2"/>
        <v>1068.5999999999999</v>
      </c>
      <c r="R17" s="21">
        <f t="shared" si="3"/>
        <v>9000</v>
      </c>
      <c r="S17" s="21">
        <f t="shared" si="14"/>
        <v>96.07</v>
      </c>
      <c r="T17" s="21">
        <f t="shared" si="4"/>
        <v>8106.43</v>
      </c>
      <c r="W17" s="1"/>
    </row>
    <row r="18" spans="1:25">
      <c r="A18" s="14">
        <v>9</v>
      </c>
      <c r="B18" s="29">
        <v>8600</v>
      </c>
      <c r="C18" s="29">
        <v>400</v>
      </c>
      <c r="D18" s="29">
        <v>0</v>
      </c>
      <c r="E18" s="29">
        <v>0</v>
      </c>
      <c r="F18" s="26">
        <f t="shared" si="11"/>
        <v>4927</v>
      </c>
      <c r="G18" s="24">
        <f t="shared" si="15"/>
        <v>394.2</v>
      </c>
      <c r="H18" s="24">
        <f t="shared" si="5"/>
        <v>98.6</v>
      </c>
      <c r="I18" s="24">
        <f t="shared" si="6"/>
        <v>24.7</v>
      </c>
      <c r="J18" s="18">
        <f t="shared" si="7"/>
        <v>517.5</v>
      </c>
      <c r="K18" s="15">
        <f t="shared" si="12"/>
        <v>280</v>
      </c>
      <c r="L18" s="19">
        <f t="shared" si="8"/>
        <v>91000</v>
      </c>
      <c r="M18" s="19">
        <f t="shared" si="1"/>
        <v>38822.5</v>
      </c>
      <c r="N18" s="20">
        <f t="shared" si="13"/>
        <v>0.1</v>
      </c>
      <c r="O18" s="19">
        <f t="shared" si="9"/>
        <v>2520</v>
      </c>
      <c r="P18" s="19">
        <f t="shared" si="10"/>
        <v>52177.5</v>
      </c>
      <c r="Q18" s="19">
        <f t="shared" si="2"/>
        <v>1362.25</v>
      </c>
      <c r="R18" s="21">
        <f t="shared" si="3"/>
        <v>9000</v>
      </c>
      <c r="S18" s="21">
        <f t="shared" si="14"/>
        <v>293.64999999999998</v>
      </c>
      <c r="T18" s="21">
        <f t="shared" si="4"/>
        <v>7908.85</v>
      </c>
      <c r="W18" s="1"/>
    </row>
    <row r="19" spans="1:25">
      <c r="A19" s="14">
        <v>10</v>
      </c>
      <c r="B19" s="29">
        <v>8600</v>
      </c>
      <c r="C19" s="29">
        <v>400</v>
      </c>
      <c r="D19" s="29">
        <v>0</v>
      </c>
      <c r="E19" s="29">
        <v>0</v>
      </c>
      <c r="F19" s="26">
        <f t="shared" si="11"/>
        <v>4927</v>
      </c>
      <c r="G19" s="24">
        <f t="shared" si="15"/>
        <v>394.2</v>
      </c>
      <c r="H19" s="24">
        <f t="shared" si="5"/>
        <v>98.6</v>
      </c>
      <c r="I19" s="24">
        <f t="shared" si="6"/>
        <v>24.7</v>
      </c>
      <c r="J19" s="18">
        <f t="shared" si="7"/>
        <v>517.5</v>
      </c>
      <c r="K19" s="15">
        <f t="shared" si="12"/>
        <v>280</v>
      </c>
      <c r="L19" s="19">
        <f t="shared" si="8"/>
        <v>100000</v>
      </c>
      <c r="M19" s="19">
        <f t="shared" si="1"/>
        <v>42025</v>
      </c>
      <c r="N19" s="20">
        <f t="shared" si="13"/>
        <v>0.1</v>
      </c>
      <c r="O19" s="19">
        <f t="shared" si="9"/>
        <v>2520</v>
      </c>
      <c r="P19" s="19">
        <f t="shared" si="10"/>
        <v>57975</v>
      </c>
      <c r="Q19" s="19">
        <f t="shared" si="2"/>
        <v>1682.5</v>
      </c>
      <c r="R19" s="21">
        <f t="shared" si="3"/>
        <v>9000</v>
      </c>
      <c r="S19" s="21">
        <f t="shared" si="14"/>
        <v>320.25</v>
      </c>
      <c r="T19" s="21">
        <f t="shared" si="4"/>
        <v>7882.25</v>
      </c>
      <c r="W19" s="1"/>
    </row>
    <row r="20" spans="1:25">
      <c r="A20" s="14">
        <v>11</v>
      </c>
      <c r="B20" s="29">
        <v>8600</v>
      </c>
      <c r="C20" s="29">
        <v>400</v>
      </c>
      <c r="D20" s="29">
        <v>0</v>
      </c>
      <c r="E20" s="29">
        <v>0</v>
      </c>
      <c r="F20" s="26">
        <f t="shared" si="11"/>
        <v>4927</v>
      </c>
      <c r="G20" s="24">
        <f t="shared" si="15"/>
        <v>394.2</v>
      </c>
      <c r="H20" s="24">
        <f t="shared" si="5"/>
        <v>98.6</v>
      </c>
      <c r="I20" s="24">
        <f t="shared" si="6"/>
        <v>24.7</v>
      </c>
      <c r="J20" s="18">
        <f t="shared" si="7"/>
        <v>517.5</v>
      </c>
      <c r="K20" s="15">
        <f t="shared" si="12"/>
        <v>280</v>
      </c>
      <c r="L20" s="19">
        <f t="shared" si="8"/>
        <v>109000</v>
      </c>
      <c r="M20" s="19">
        <f t="shared" si="1"/>
        <v>45227.5</v>
      </c>
      <c r="N20" s="20">
        <f t="shared" si="13"/>
        <v>0.1</v>
      </c>
      <c r="O20" s="19">
        <f t="shared" si="9"/>
        <v>2520</v>
      </c>
      <c r="P20" s="19">
        <f t="shared" si="10"/>
        <v>63772.5</v>
      </c>
      <c r="Q20" s="19">
        <f t="shared" si="2"/>
        <v>2002.75</v>
      </c>
      <c r="R20" s="21">
        <f t="shared" si="3"/>
        <v>9000</v>
      </c>
      <c r="S20" s="21">
        <f t="shared" si="14"/>
        <v>320.25</v>
      </c>
      <c r="T20" s="21">
        <f t="shared" si="4"/>
        <v>7882.25</v>
      </c>
      <c r="W20" s="1"/>
    </row>
    <row r="21" spans="1:25">
      <c r="A21" s="14">
        <v>12</v>
      </c>
      <c r="B21" s="29">
        <v>8600</v>
      </c>
      <c r="C21" s="29">
        <v>400</v>
      </c>
      <c r="D21" s="29">
        <v>0</v>
      </c>
      <c r="E21" s="29">
        <v>0</v>
      </c>
      <c r="F21" s="26">
        <f t="shared" si="11"/>
        <v>4927</v>
      </c>
      <c r="G21" s="24">
        <f t="shared" si="15"/>
        <v>394.2</v>
      </c>
      <c r="H21" s="24">
        <f t="shared" si="5"/>
        <v>98.6</v>
      </c>
      <c r="I21" s="24">
        <f t="shared" si="6"/>
        <v>24.7</v>
      </c>
      <c r="J21" s="18">
        <f t="shared" si="7"/>
        <v>517.5</v>
      </c>
      <c r="K21" s="15">
        <f t="shared" si="12"/>
        <v>280</v>
      </c>
      <c r="L21" s="19">
        <f t="shared" si="8"/>
        <v>118000</v>
      </c>
      <c r="M21" s="19">
        <f t="shared" si="1"/>
        <v>48430</v>
      </c>
      <c r="N21" s="20">
        <f t="shared" si="13"/>
        <v>0.1</v>
      </c>
      <c r="O21" s="19">
        <f t="shared" si="9"/>
        <v>2520</v>
      </c>
      <c r="P21" s="19">
        <f t="shared" si="10"/>
        <v>69570</v>
      </c>
      <c r="Q21" s="19">
        <f t="shared" si="2"/>
        <v>2323</v>
      </c>
      <c r="R21" s="21">
        <f t="shared" si="3"/>
        <v>9000</v>
      </c>
      <c r="S21" s="21">
        <f t="shared" si="14"/>
        <v>320.25</v>
      </c>
      <c r="T21" s="21">
        <f t="shared" si="4"/>
        <v>7882.25</v>
      </c>
      <c r="W21" s="1"/>
    </row>
    <row r="22" spans="1:25">
      <c r="F22" s="1"/>
      <c r="G22" s="1"/>
      <c r="R22" s="23">
        <f>SUM(R10:R21)</f>
        <v>118000</v>
      </c>
      <c r="S22" s="23">
        <f t="shared" ref="S22:T22" si="16">SUM(S10:S21)</f>
        <v>2323</v>
      </c>
      <c r="T22" s="23">
        <f t="shared" si="16"/>
        <v>106107</v>
      </c>
    </row>
    <row r="23" spans="1:25">
      <c r="A23" t="s">
        <v>41</v>
      </c>
    </row>
    <row r="24" spans="1:25">
      <c r="B24" s="11" t="s">
        <v>13</v>
      </c>
      <c r="C24" s="11" t="s">
        <v>17</v>
      </c>
      <c r="D24" s="11" t="s">
        <v>29</v>
      </c>
      <c r="E24" s="11" t="s">
        <v>8</v>
      </c>
      <c r="F24" s="11" t="s">
        <v>16</v>
      </c>
      <c r="G24" s="11" t="s">
        <v>14</v>
      </c>
      <c r="I24" s="11" t="s">
        <v>35</v>
      </c>
      <c r="J24" s="11" t="s">
        <v>31</v>
      </c>
      <c r="K24" s="11" t="s">
        <v>32</v>
      </c>
      <c r="L24" s="11"/>
      <c r="M24" s="11"/>
      <c r="N24" s="11"/>
      <c r="O24" s="11"/>
      <c r="P24" s="11"/>
      <c r="Q24" s="11"/>
      <c r="R24" s="11" t="s">
        <v>39</v>
      </c>
      <c r="S24" s="11" t="s">
        <v>38</v>
      </c>
      <c r="T24" s="11" t="s">
        <v>34</v>
      </c>
    </row>
    <row r="25" spans="1:25">
      <c r="B25" s="12">
        <v>0</v>
      </c>
      <c r="C25" s="12">
        <f>B25/12</f>
        <v>0</v>
      </c>
      <c r="D25" s="13">
        <f>IF(C25&lt;=3000,3%,IF(C25&lt;=12000,10%,IF(C25&lt;=25000,20%,IF(C25&lt;=35000,25%,IF(C25&lt;=55000,30%,IF(C25&lt;=80000,35%,45%))))))</f>
        <v>0.03</v>
      </c>
      <c r="E25" s="12">
        <f>IF(C25&lt;=3000,0,IF(C25&lt;=12000,210,IF(C25&lt;=25000,1410,IF(C25&lt;=35000,2660,IF(C25&lt;=55000,4410,IF(C25&lt;=80000,7160,15160))))))</f>
        <v>0</v>
      </c>
      <c r="F25" s="12">
        <f>B25*D25-E25</f>
        <v>0</v>
      </c>
      <c r="G25" s="12">
        <f>B25-F25</f>
        <v>0</v>
      </c>
      <c r="I25" s="12">
        <f>R22+B25</f>
        <v>118000</v>
      </c>
      <c r="J25" s="12">
        <f>T22+G25</f>
        <v>106107</v>
      </c>
      <c r="K25" s="12">
        <f>S22+F25</f>
        <v>2323</v>
      </c>
      <c r="O25" s="1"/>
      <c r="R25" s="13">
        <f>J25/I25</f>
        <v>0.8992</v>
      </c>
      <c r="S25" s="12">
        <f>((SUM(J10:J21)/10.5%*27.16%+SUM(K10:K21)))+I25</f>
        <v>137423.20000000001</v>
      </c>
      <c r="T25" s="13">
        <f>J25/S25</f>
        <v>0.77210000000000001</v>
      </c>
    </row>
    <row r="26" spans="1:25">
      <c r="V26" s="1"/>
    </row>
    <row r="27" spans="1:25" ht="18">
      <c r="D27" s="27"/>
      <c r="Y27" s="2"/>
    </row>
    <row r="28" spans="1:25">
      <c r="E28" s="1"/>
      <c r="L28" s="1"/>
    </row>
  </sheetData>
  <mergeCells count="3">
    <mergeCell ref="A1:A6"/>
    <mergeCell ref="G2:H2"/>
    <mergeCell ref="G4:H4"/>
  </mergeCells>
  <phoneticPr fontId="1" type="noConversion"/>
  <dataValidations disablePrompts="1" count="1">
    <dataValidation type="list" allowBlank="1" showInputMessage="1" showErrorMessage="1" promptTitle="是" sqref="J1" xr:uid="{09BC0FB5-02F4-EC4F-9034-893DB0D2FA0D}">
      <formula1>"是,否"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chou calfen</dc:creator>
  <cp:keywords/>
  <dc:description/>
  <cp:lastModifiedBy>chou calfen</cp:lastModifiedBy>
  <cp:revision/>
  <dcterms:created xsi:type="dcterms:W3CDTF">2019-02-28T02:46:16Z</dcterms:created>
  <dcterms:modified xsi:type="dcterms:W3CDTF">2021-02-26T05:17:21Z</dcterms:modified>
  <cp:category/>
  <cp:contentStatus/>
</cp:coreProperties>
</file>