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480" windowWidth="20490" windowHeight="6975" tabRatio="707"/>
  </bookViews>
  <sheets>
    <sheet name="CALIDAD INTERNA" sheetId="2" r:id="rId1"/>
    <sheet name="CALIDAD EXTERNA" sheetId="3" r:id="rId2"/>
    <sheet name="CALIDAD EN USO" sheetId="4" r:id="rId3"/>
    <sheet name="RESULTADO FINAL" sheetId="5" r:id="rId4"/>
    <sheet name="Listas" sheetId="6" state="hidden" r:id="rId5"/>
    <sheet name="Hoja1" sheetId="7" state="hidden" r:id="rId6"/>
    <sheet name="Hoja2" sheetId="8" state="hidden" r:id="rId7"/>
  </sheets>
  <definedNames>
    <definedName name="_xlnm._FilterDatabase" localSheetId="2" hidden="1">'CALIDAD EN USO'!$B$6:$Q$92</definedName>
    <definedName name="_xlnm._FilterDatabase" localSheetId="1" hidden="1">'CALIDAD EXTERNA'!$B$6:$Q$170</definedName>
    <definedName name="_xlnm._FilterDatabase" localSheetId="0" hidden="1">'CALIDAD INTERNA'!$B$6:$R$163</definedName>
    <definedName name="aplica">Listas!$B$2:$B$3</definedName>
    <definedName name="aplica2">Listas!$B$1:$B$3</definedName>
    <definedName name="importancia">Listas!$A$1:$A$5</definedName>
    <definedName name="importancia2">Listas!$A$2:$A$5</definedName>
  </definedNames>
  <calcPr calcId="145621"/>
</workbook>
</file>

<file path=xl/calcChain.xml><?xml version="1.0" encoding="utf-8"?>
<calcChain xmlns="http://schemas.openxmlformats.org/spreadsheetml/2006/main">
  <c r="G15" i="8" l="1"/>
  <c r="G16" i="8"/>
  <c r="G17" i="8"/>
  <c r="G18" i="8"/>
  <c r="G19" i="8"/>
  <c r="G20" i="8"/>
  <c r="G21" i="8"/>
  <c r="G27" i="8" l="1"/>
  <c r="L27" i="8" s="1"/>
  <c r="G26" i="8"/>
  <c r="L26" i="8" s="1"/>
  <c r="G25" i="8"/>
  <c r="L25" i="8" s="1"/>
  <c r="G24" i="8"/>
  <c r="L24" i="8" s="1"/>
  <c r="G23" i="8"/>
  <c r="L23" i="8" s="1"/>
  <c r="L21" i="8"/>
  <c r="L20" i="8"/>
  <c r="L19" i="8"/>
  <c r="L18" i="8"/>
  <c r="L17" i="8"/>
  <c r="L16" i="8"/>
  <c r="L15" i="8"/>
  <c r="G14" i="8"/>
  <c r="L14" i="8" s="1"/>
  <c r="G6" i="8"/>
  <c r="L6" i="8" s="1"/>
  <c r="G7" i="8"/>
  <c r="L7" i="8" s="1"/>
  <c r="G8" i="8"/>
  <c r="L8" i="8" s="1"/>
  <c r="G9" i="8"/>
  <c r="L9" i="8" s="1"/>
  <c r="G10" i="8"/>
  <c r="L10" i="8" s="1"/>
  <c r="G11" i="8"/>
  <c r="L11" i="8" s="1"/>
  <c r="G12" i="8"/>
  <c r="L12" i="8" s="1"/>
  <c r="G5" i="8"/>
  <c r="L5" i="8" s="1"/>
  <c r="H5" i="8" l="1"/>
  <c r="H14" i="8"/>
  <c r="H23" i="8"/>
  <c r="I5" i="8" l="1"/>
  <c r="J24" i="4"/>
  <c r="J19" i="4"/>
  <c r="K17" i="4" s="1"/>
  <c r="J50" i="2"/>
  <c r="J14" i="2"/>
  <c r="J137" i="3"/>
  <c r="J40" i="2"/>
  <c r="J41" i="2" s="1"/>
  <c r="K39" i="2" s="1"/>
  <c r="J38" i="2"/>
  <c r="K36" i="2" s="1"/>
  <c r="J35" i="2"/>
  <c r="K33" i="2" s="1"/>
  <c r="J53" i="2"/>
  <c r="J52" i="2"/>
  <c r="K51" i="2"/>
  <c r="J55" i="2"/>
  <c r="J62" i="3"/>
  <c r="J59" i="3"/>
  <c r="J49" i="3"/>
  <c r="J115" i="3" l="1"/>
  <c r="J77" i="4" l="1"/>
  <c r="J78" i="4" s="1"/>
  <c r="J44" i="3"/>
  <c r="K42" i="3" s="1"/>
  <c r="J24" i="3"/>
  <c r="J138" i="2"/>
  <c r="J54" i="3" l="1"/>
  <c r="K53" i="3" s="1"/>
  <c r="J52" i="3"/>
  <c r="K51" i="3" s="1"/>
  <c r="J45" i="2"/>
  <c r="K44" i="2" s="1"/>
  <c r="J47" i="2"/>
  <c r="K46" i="2" s="1"/>
  <c r="J91" i="4" l="1"/>
  <c r="K89" i="4" s="1"/>
  <c r="J88" i="4"/>
  <c r="K86" i="4" s="1"/>
  <c r="L86" i="4" s="1"/>
  <c r="O86" i="4" s="1"/>
  <c r="J84" i="4"/>
  <c r="K82" i="4" s="1"/>
  <c r="J81" i="4"/>
  <c r="K79" i="4" s="1"/>
  <c r="K76" i="4"/>
  <c r="J75" i="4"/>
  <c r="K73" i="4" s="1"/>
  <c r="J72" i="4"/>
  <c r="K70" i="4" s="1"/>
  <c r="J69" i="4"/>
  <c r="K67" i="4" s="1"/>
  <c r="J66" i="4"/>
  <c r="K64" i="4" s="1"/>
  <c r="J63" i="4"/>
  <c r="K61" i="4" s="1"/>
  <c r="J60" i="4"/>
  <c r="K58" i="4" s="1"/>
  <c r="J57" i="4"/>
  <c r="K55" i="4" s="1"/>
  <c r="J51" i="4"/>
  <c r="K49" i="4" s="1"/>
  <c r="J54" i="4"/>
  <c r="K52" i="4" s="1"/>
  <c r="J47" i="4"/>
  <c r="K45" i="4" s="1"/>
  <c r="J44" i="4"/>
  <c r="K42" i="4" s="1"/>
  <c r="J41" i="4"/>
  <c r="K39" i="4" s="1"/>
  <c r="J37" i="4"/>
  <c r="K35" i="4" s="1"/>
  <c r="J34" i="4"/>
  <c r="K32" i="4" s="1"/>
  <c r="J25" i="4"/>
  <c r="K23" i="4" s="1"/>
  <c r="J31" i="4"/>
  <c r="K29" i="4" s="1"/>
  <c r="J28" i="4"/>
  <c r="K26" i="4" s="1"/>
  <c r="J22" i="4"/>
  <c r="K20" i="4" s="1"/>
  <c r="J15" i="4"/>
  <c r="K13" i="4" s="1"/>
  <c r="J12" i="4"/>
  <c r="K10" i="4" s="1"/>
  <c r="J9" i="4"/>
  <c r="K7" i="4" s="1"/>
  <c r="J169" i="3"/>
  <c r="K167" i="3" s="1"/>
  <c r="J163" i="3"/>
  <c r="K161" i="3" s="1"/>
  <c r="J166" i="3"/>
  <c r="K164" i="3" s="1"/>
  <c r="J160" i="3"/>
  <c r="K158" i="3" s="1"/>
  <c r="J156" i="3"/>
  <c r="J157" i="3" s="1"/>
  <c r="K155" i="3" s="1"/>
  <c r="J154" i="3"/>
  <c r="K152" i="3" s="1"/>
  <c r="J151" i="3"/>
  <c r="K149" i="3" s="1"/>
  <c r="J148" i="3"/>
  <c r="K146" i="3" s="1"/>
  <c r="J144" i="3"/>
  <c r="K142" i="3" s="1"/>
  <c r="J141" i="3"/>
  <c r="K139" i="3" s="1"/>
  <c r="J138" i="3"/>
  <c r="K136" i="3" s="1"/>
  <c r="J135" i="3"/>
  <c r="K133" i="3" s="1"/>
  <c r="J132" i="3"/>
  <c r="K130" i="3" s="1"/>
  <c r="J129" i="3"/>
  <c r="K127" i="3" s="1"/>
  <c r="J125" i="3"/>
  <c r="K123" i="3" s="1"/>
  <c r="J122" i="3"/>
  <c r="K120" i="3" s="1"/>
  <c r="J119" i="3"/>
  <c r="K117" i="3" s="1"/>
  <c r="K114" i="3"/>
  <c r="J113" i="3"/>
  <c r="K111" i="3" s="1"/>
  <c r="J110" i="3"/>
  <c r="K108" i="3" s="1"/>
  <c r="J107" i="3"/>
  <c r="K105" i="3" s="1"/>
  <c r="J104" i="3"/>
  <c r="K102" i="3" s="1"/>
  <c r="J101" i="3"/>
  <c r="K99" i="3" s="1"/>
  <c r="J97" i="3"/>
  <c r="K95" i="3" s="1"/>
  <c r="J94" i="3"/>
  <c r="K92" i="3" s="1"/>
  <c r="J91" i="3"/>
  <c r="K89" i="3" s="1"/>
  <c r="J88" i="3"/>
  <c r="K86" i="3" s="1"/>
  <c r="J85" i="3"/>
  <c r="K83" i="3" s="1"/>
  <c r="J82" i="3"/>
  <c r="K80" i="3" s="1"/>
  <c r="J79" i="3"/>
  <c r="K77" i="3" s="1"/>
  <c r="J76" i="3"/>
  <c r="K74" i="3" s="1"/>
  <c r="J73" i="3"/>
  <c r="K71" i="3" s="1"/>
  <c r="J70" i="3"/>
  <c r="K68" i="3" s="1"/>
  <c r="J65" i="3"/>
  <c r="J66" i="3" s="1"/>
  <c r="K64" i="3" s="1"/>
  <c r="J63" i="3"/>
  <c r="K61" i="3" s="1"/>
  <c r="J60" i="3"/>
  <c r="K58" i="3" s="1"/>
  <c r="J57" i="3"/>
  <c r="K55" i="3" s="1"/>
  <c r="J50" i="3"/>
  <c r="K48" i="3" s="1"/>
  <c r="J47" i="3"/>
  <c r="K45" i="3" s="1"/>
  <c r="J39" i="3"/>
  <c r="J40" i="3" s="1"/>
  <c r="K38" i="3" s="1"/>
  <c r="J37" i="3"/>
  <c r="K35" i="3" s="1"/>
  <c r="J34" i="3"/>
  <c r="K32" i="3" s="1"/>
  <c r="J30" i="3"/>
  <c r="J31" i="3" s="1"/>
  <c r="K29" i="3" s="1"/>
  <c r="J28" i="3"/>
  <c r="K26" i="3" s="1"/>
  <c r="J25" i="3"/>
  <c r="K23" i="3" s="1"/>
  <c r="J22" i="3"/>
  <c r="K20" i="3" s="1"/>
  <c r="J19" i="3"/>
  <c r="K17" i="3" s="1"/>
  <c r="J14" i="3"/>
  <c r="J15" i="3" s="1"/>
  <c r="K13" i="3" s="1"/>
  <c r="J12" i="3"/>
  <c r="K10" i="3"/>
  <c r="J9" i="3"/>
  <c r="K7" i="3" s="1"/>
  <c r="J162" i="2"/>
  <c r="K160" i="2" s="1"/>
  <c r="J159" i="2"/>
  <c r="K157" i="2" s="1"/>
  <c r="J156" i="2"/>
  <c r="K154" i="2" s="1"/>
  <c r="J153" i="2"/>
  <c r="K151" i="2" s="1"/>
  <c r="J149" i="2"/>
  <c r="K147" i="2" s="1"/>
  <c r="J146" i="2"/>
  <c r="K144" i="2" s="1"/>
  <c r="J136" i="2"/>
  <c r="K134" i="2" s="1"/>
  <c r="J143" i="2"/>
  <c r="K141" i="2" s="1"/>
  <c r="J140" i="2"/>
  <c r="K139" i="2" s="1"/>
  <c r="K137" i="2"/>
  <c r="J133" i="2"/>
  <c r="K131" i="2" s="1"/>
  <c r="J130" i="2"/>
  <c r="K128" i="2" s="1"/>
  <c r="J127" i="2"/>
  <c r="K126" i="2" s="1"/>
  <c r="J125" i="2"/>
  <c r="K123" i="2" s="1"/>
  <c r="J121" i="2"/>
  <c r="K119" i="2" s="1"/>
  <c r="J118" i="2"/>
  <c r="K116" i="2" s="1"/>
  <c r="J115" i="2"/>
  <c r="K113" i="2" s="1"/>
  <c r="J111" i="2"/>
  <c r="K110" i="2" s="1"/>
  <c r="J109" i="2"/>
  <c r="K107" i="2" s="1"/>
  <c r="J106" i="2"/>
  <c r="K104" i="2" s="1"/>
  <c r="J100" i="2"/>
  <c r="K98" i="2" s="1"/>
  <c r="J103" i="2"/>
  <c r="K101" i="2" s="1"/>
  <c r="J97" i="2"/>
  <c r="K95" i="2" s="1"/>
  <c r="J93" i="2"/>
  <c r="K91" i="2" s="1"/>
  <c r="J90" i="2"/>
  <c r="K88" i="2" s="1"/>
  <c r="J87" i="2"/>
  <c r="K85" i="2" s="1"/>
  <c r="J84" i="2"/>
  <c r="K82" i="2" s="1"/>
  <c r="J78" i="2"/>
  <c r="K76" i="2" s="1"/>
  <c r="J28" i="2"/>
  <c r="K26" i="2" s="1"/>
  <c r="J81" i="2"/>
  <c r="K79" i="2" s="1"/>
  <c r="J75" i="2"/>
  <c r="K73" i="2" s="1"/>
  <c r="J72" i="2"/>
  <c r="K70" i="2" s="1"/>
  <c r="J69" i="2"/>
  <c r="K67" i="2" s="1"/>
  <c r="J66" i="2"/>
  <c r="K64" i="2" s="1"/>
  <c r="J63" i="2"/>
  <c r="K61" i="2" s="1"/>
  <c r="J60" i="2"/>
  <c r="K58" i="2" s="1"/>
  <c r="J56" i="2"/>
  <c r="K54" i="2" s="1"/>
  <c r="K48" i="2"/>
  <c r="J43" i="2"/>
  <c r="K42" i="2" s="1"/>
  <c r="L33" i="2" s="1"/>
  <c r="J30" i="2"/>
  <c r="J31" i="2"/>
  <c r="K29" i="2" s="1"/>
  <c r="J25" i="2"/>
  <c r="K23" i="2" s="1"/>
  <c r="J22" i="2"/>
  <c r="K20" i="2" s="1"/>
  <c r="J19" i="2"/>
  <c r="K17" i="2" s="1"/>
  <c r="J15" i="2"/>
  <c r="K13" i="2" s="1"/>
  <c r="J9" i="2"/>
  <c r="K7" i="2" s="1"/>
  <c r="J12" i="2"/>
  <c r="K10" i="2" s="1"/>
  <c r="L42" i="3" l="1"/>
  <c r="L39" i="4"/>
  <c r="L7" i="4"/>
  <c r="L7" i="3"/>
  <c r="L123" i="2"/>
  <c r="L113" i="2"/>
  <c r="L95" i="2"/>
  <c r="L17" i="2"/>
  <c r="L7" i="2"/>
  <c r="L58" i="2"/>
  <c r="L151" i="2"/>
  <c r="L17" i="4"/>
  <c r="L49" i="4"/>
  <c r="L146" i="3"/>
  <c r="L127" i="3"/>
  <c r="O127" i="3" s="1"/>
  <c r="L117" i="3"/>
  <c r="L99" i="3"/>
  <c r="L68" i="3"/>
  <c r="L17" i="3"/>
  <c r="N92" i="4"/>
  <c r="Q45" i="4" s="1"/>
  <c r="N170" i="3" l="1"/>
  <c r="Q88" i="3" s="1"/>
  <c r="N163" i="2"/>
  <c r="Q82" i="2" l="1"/>
  <c r="O146" i="3" l="1"/>
  <c r="O42" i="3"/>
  <c r="O49" i="4"/>
  <c r="O39" i="4"/>
  <c r="O7" i="4"/>
  <c r="O7" i="3"/>
  <c r="O151" i="2"/>
  <c r="O123" i="2"/>
  <c r="O113" i="2"/>
  <c r="O17" i="4"/>
  <c r="O17" i="3"/>
  <c r="O68" i="3"/>
  <c r="O99" i="3"/>
  <c r="O117" i="3"/>
  <c r="O95" i="2"/>
  <c r="P7" i="4" l="1"/>
  <c r="C9" i="5" s="1"/>
  <c r="D28" i="7" s="1"/>
  <c r="P7" i="3"/>
  <c r="C8" i="5" s="1"/>
  <c r="D27" i="7" s="1"/>
  <c r="O58" i="2"/>
  <c r="E9" i="5" l="1"/>
  <c r="C28" i="7" s="1"/>
  <c r="D9" i="5"/>
  <c r="D8" i="5"/>
  <c r="E8" i="5"/>
  <c r="C27" i="7" s="1"/>
  <c r="O17" i="2"/>
  <c r="O7" i="2" l="1"/>
  <c r="O33" i="2"/>
  <c r="P7" i="2" l="1"/>
  <c r="C7" i="5" s="1"/>
  <c r="D7" i="5" l="1"/>
  <c r="D26" i="7"/>
  <c r="C10" i="5"/>
  <c r="D29" i="7" s="1"/>
  <c r="E7" i="5"/>
  <c r="C26" i="7" s="1"/>
  <c r="D10" i="5" l="1"/>
  <c r="D5" i="7"/>
  <c r="E5" i="7" s="1"/>
  <c r="E10" i="5"/>
  <c r="C29" i="7" s="1"/>
</calcChain>
</file>

<file path=xl/sharedStrings.xml><?xml version="1.0" encoding="utf-8"?>
<sst xmlns="http://schemas.openxmlformats.org/spreadsheetml/2006/main" count="1076" uniqueCount="324">
  <si>
    <t>CARACTERISTICA</t>
  </si>
  <si>
    <t>SUBCARACTERISTICA</t>
  </si>
  <si>
    <t>METRICA</t>
  </si>
  <si>
    <t>Adecuación funcional</t>
  </si>
  <si>
    <t>Fiabilidad</t>
  </si>
  <si>
    <t>Eficiencia en el desempeño</t>
  </si>
  <si>
    <t>Facilidad de uso</t>
  </si>
  <si>
    <t>Seguridad</t>
  </si>
  <si>
    <t>Compatibilidad</t>
  </si>
  <si>
    <t>Mantenibilidad</t>
  </si>
  <si>
    <t>Completitud funcional</t>
  </si>
  <si>
    <t>Exactitud funcional</t>
  </si>
  <si>
    <t>Madurez</t>
  </si>
  <si>
    <t>Disponibilidad</t>
  </si>
  <si>
    <t>Tolerancia a fallos</t>
  </si>
  <si>
    <t>Utilización de recursos</t>
  </si>
  <si>
    <t>Capacidad</t>
  </si>
  <si>
    <t>Capacidad de ser entendido</t>
  </si>
  <si>
    <t>Operatividad</t>
  </si>
  <si>
    <t>Autenticidad</t>
  </si>
  <si>
    <t>Co - existencia</t>
  </si>
  <si>
    <t>Reusabilidad</t>
  </si>
  <si>
    <t>Capacidad de ser probado</t>
  </si>
  <si>
    <t>FORMULA</t>
  </si>
  <si>
    <t>Precisión.</t>
  </si>
  <si>
    <t>Exactitud computacional.</t>
  </si>
  <si>
    <t>Funciones evidentes</t>
  </si>
  <si>
    <t>Utilización de firma digital</t>
  </si>
  <si>
    <t>Co – existencia disponible</t>
  </si>
  <si>
    <t>Interoperatividad</t>
  </si>
  <si>
    <t xml:space="preserve">Modularidad </t>
  </si>
  <si>
    <t xml:space="preserve">Capacidad de ser analizado </t>
  </si>
  <si>
    <t>Capacidad de ser modificado</t>
  </si>
  <si>
    <t>X=</t>
  </si>
  <si>
    <t>VALOR OBTENIDO (X)</t>
  </si>
  <si>
    <t>PORCENTAJE DE IMPORTANCIA</t>
  </si>
  <si>
    <t>VALOR PARCIAL TOTAL (/10)</t>
  </si>
  <si>
    <t>PONDERACION (/10)</t>
  </si>
  <si>
    <t>VALOR DESEADO (UMBRAL, etc)</t>
  </si>
  <si>
    <t>CALIDAD DEL SISTEMA (/10)</t>
  </si>
  <si>
    <t xml:space="preserve">Eliminacion de errores </t>
  </si>
  <si>
    <t>Cobertura de pruebas</t>
  </si>
  <si>
    <t xml:space="preserve">Redundancia </t>
  </si>
  <si>
    <t>Comportamiento del tiempo</t>
  </si>
  <si>
    <t>Protección contra errores del usuario</t>
  </si>
  <si>
    <t xml:space="preserve">No repudio </t>
  </si>
  <si>
    <t>X = A / B
A =  Número de funciones que están incorrectas o que no fueron implementadas 
B =  Número de las funciones establecidas en la especificación de requisitos
Dónde:
B &gt; 0</t>
  </si>
  <si>
    <t>B =</t>
  </si>
  <si>
    <t>A =</t>
  </si>
  <si>
    <t>X =</t>
  </si>
  <si>
    <t>X = A/B
A =  Número de elementos de datos implementados con el estándar especifico de exactitud
B =  Número total  de elementos de datos implementados
Dónde:
B &gt; 0</t>
  </si>
  <si>
    <t>T =</t>
  </si>
  <si>
    <t>Tiempo medio entre fallos</t>
  </si>
  <si>
    <t>X = A/B
A =  Número de fallas corregidas en la fase de diseño/codificación/pruebas
B =  Número de fallas detectadas en las pruebas
Dónde:
B &gt; 0</t>
  </si>
  <si>
    <t>X = A/T
A = Numero de  de cálculos inexactos encontrados
T =  Tiempo de operación
Dónde:
T &gt; 0</t>
  </si>
  <si>
    <t>X = A/B
A =  Número de casos de pruebas realizados en un escenario de operación durante la prueba
B =  Número de casos de prueba a ser realizados para cubrir los requerimientos
Dónde:
B &gt; 0</t>
  </si>
  <si>
    <t xml:space="preserve">X = A/T
A =  Número total de fallas detectadas actualmente 
T =   Tiempo de operación
Donde T &gt; 0
</t>
  </si>
  <si>
    <t>Capacidad de recuperación</t>
  </si>
  <si>
    <t>Tiempo medio de recuperación</t>
  </si>
  <si>
    <t>X = A / T
A = Número de casos en los cuales se ha observado que el sistema entró en  recuperación
T = Tiempo que le tomó al sistema en recuperarse 
Dónde:
T &gt; 0</t>
  </si>
  <si>
    <t xml:space="preserve">X = </t>
  </si>
  <si>
    <t>Tiempo de respuesta</t>
  </si>
  <si>
    <t>X = B - A
A= Tiempo de envío de petición
B = Tiempo en recibir la primera respuesta</t>
  </si>
  <si>
    <t>Tiempo de espera</t>
  </si>
  <si>
    <t>X = B - A
A= Tiempo cuando se inicia un trabajo
B = Tiempo en completar el trabajo</t>
  </si>
  <si>
    <t xml:space="preserve">Rendimiento </t>
  </si>
  <si>
    <t>X = A/T
A= Número de tareas completadas 
T = Intervalo de tiempo
Dónde:
T &gt; 0</t>
  </si>
  <si>
    <t>Deseado: &gt;=10/min
Peor caso: 0/min</t>
  </si>
  <si>
    <t>Líneas de codigo</t>
  </si>
  <si>
    <t>X = A
A = Número de líneas de código</t>
  </si>
  <si>
    <t>Deseado: 1
Peor caso: &gt;=50</t>
  </si>
  <si>
    <t>Utilización de la memoria (Orientado EXTERNA)</t>
  </si>
  <si>
    <t>Utilización de CPU</t>
  </si>
  <si>
    <t>Deseado: 0 seg
Peor caso: &gt;= 15 seg</t>
  </si>
  <si>
    <t>Utilización de la memoria</t>
  </si>
  <si>
    <t xml:space="preserve">Utilización de los dispositivos de E/S  </t>
  </si>
  <si>
    <t>X = A/T
A= Número máximo de peticiones online procesada
T = Tiempo de operación
Dónde:
T &gt; 0</t>
  </si>
  <si>
    <t xml:space="preserve">Numero de peticiones online (Max) </t>
  </si>
  <si>
    <t>X = A/T
A= Número máximo de accesos simultáneos
T = Tiempo de operación
Dónde:
T &gt; 0</t>
  </si>
  <si>
    <t>Deseado: 0/min
Peor caso: &gt;=10/min</t>
  </si>
  <si>
    <t>Integridad de descripción</t>
  </si>
  <si>
    <t>Capacidad de reconocer su adecuación</t>
  </si>
  <si>
    <t>X = A/B
A =  Número de funciones (o tipos de funciones) descritas como entendibles en la descripción del producto
B =  Número total de funciones (o tipos de funciones)
Dónde:
B &gt; 0</t>
  </si>
  <si>
    <t>Capacidad de demostración</t>
  </si>
  <si>
    <t>X = A/B
A =  Número de funciones implementadas con capacidad de demostración 
B =   Número total de funciones que requieren capacidad de demostración
Dónde:
B &gt; 0</t>
  </si>
  <si>
    <t>Efectividad de la documentación del usuario o ayuda del sistema</t>
  </si>
  <si>
    <t>X = A / B
A= Número de funciones descritas correctamente
B = Número  total de funciones implementadas
Dónde:
B &gt; 0</t>
  </si>
  <si>
    <t>X = A / B
A= Número de mensajes implementados con explicaciones claras
B = Número total de mensajes implementados
Dónde:
B &gt; 0</t>
  </si>
  <si>
    <t>X = A / B
A= Número de  de operaciones que se comportan de manera incoherente
B = Número total de operaciones que se comportan de forma normal
Dónde:
B &gt; 0</t>
  </si>
  <si>
    <t>X = A / B
A =  Número de funciones implementadas que pueden ser personalizados durante la operación
B =  Número de funciones que requieran la capacidad de personalización
Dónde:
B &gt; 0</t>
  </si>
  <si>
    <t>X = A/B
A= Número de elementos de entrada que son validados
B = Número de elementos que necesitan ser validados
Dónde:
B &gt; 0</t>
  </si>
  <si>
    <t>Estética de la Interfaz del usuario</t>
  </si>
  <si>
    <t>X = A/B
A =  Número operaciones iniciales incorrectas  
B = Número   de funciones implementadas para evitar fallos de funcionamiento provocados por un uso incorrecto
Dónde:
B &gt; 0</t>
  </si>
  <si>
    <t xml:space="preserve">X = A/B
A= Número de elementos de interfaz que pueden ser personalizados
B = Número  total de elementos de interfaz
Dónde:
B &gt; 0
</t>
  </si>
  <si>
    <t>Accesibilidad técnica</t>
  </si>
  <si>
    <t>Accesibilidad física</t>
  </si>
  <si>
    <t>X = A/B
A= Número de funciones a las que pueden acceder personas con discapacidad
B = Número  total de elementos de interfaz
Dónde:
B &gt; 0</t>
  </si>
  <si>
    <t>Confidencialidad</t>
  </si>
  <si>
    <t>Capacidad de control de acceso</t>
  </si>
  <si>
    <t>X = A / B
A =  Número de diferentes tipos de operaciones ilegales detectados
B =  Número de tipos de operaciones ilegales en la especificación
Dónde:
B &gt; 0</t>
  </si>
  <si>
    <t>Encriptación de datos</t>
  </si>
  <si>
    <t>X = A / B
A =  Número de elementos de datos  encriptados/desencriptados correctamente
B =  Número de  elementos de datos  que requiere encriptación/desencriptación
Dónde:
B &gt; 0</t>
  </si>
  <si>
    <t>Prevención de corrupción de datos</t>
  </si>
  <si>
    <t>Integridad</t>
  </si>
  <si>
    <t>X = A / B
A =  Número de casos de corrupción de datos ocurridos en la actualidad
B =  Número  de accesos donde se espera que ocurran daños de datos
Dónde:
B &gt; 0</t>
  </si>
  <si>
    <t>X = A / B
A = Número de eventos procesados  usando firma digital
B =  Número de eventos que requieran la propiedad de no - repudio 
Dónde:
B &gt; 0</t>
  </si>
  <si>
    <t xml:space="preserve">Responsabilidad </t>
  </si>
  <si>
    <t>Capacidad de auditoría de acceso</t>
  </si>
  <si>
    <t>Métodos de autenticación</t>
  </si>
  <si>
    <t>X = A
A =  Número de métodos de autenticación  previstos</t>
  </si>
  <si>
    <t>Conectividad con sistemas externos</t>
  </si>
  <si>
    <t>X = A/B
A= Número de interfaces implementadas con otros sistemas
B = Número total de interfaces externas
Dónde:
B &gt; 0</t>
  </si>
  <si>
    <t>Capacidad de intercambiar de datos</t>
  </si>
  <si>
    <t>X = A/B
A= Número  de datos que se han intercambiado sin problemas con otro sistema
B =  Número total de datos que se intercambiaran  
Dónde:
B &gt; 0</t>
  </si>
  <si>
    <t>Capacidad de condensación</t>
  </si>
  <si>
    <t xml:space="preserve">Acoplamiento de clases </t>
  </si>
  <si>
    <t>X = A
A  =  Número de relaciones que tiene una función con respecto a otras clases</t>
  </si>
  <si>
    <t xml:space="preserve">Ejecución de reusabilidad </t>
  </si>
  <si>
    <t>X = A / B
A =  Número de elementos reutilizados
B =  Número total de elementos de la biblioteca reutilizable
Dónde:
B &gt; 0</t>
  </si>
  <si>
    <t>X = A / B
A =  Número de datos realmente grabadas durante la operación
B =  Número de datos previstos a grabarse para controlar el estado del sistema durante la operación
Dónde:
B &gt; 0</t>
  </si>
  <si>
    <t>Capacidad de pistas de auditoría</t>
  </si>
  <si>
    <t>Diagnóstico de funciones suficientes</t>
  </si>
  <si>
    <t>X = A/B
A =  Número de funciones de diagnóstico implementadas
B =  Número de funciones de  diagnóstico requeridas en la especificación de requerimientos
Dónde:
B &gt; 0</t>
  </si>
  <si>
    <t xml:space="preserve">X = A+1
A = Numero de instrucciones condicionales que tiene una función </t>
  </si>
  <si>
    <t xml:space="preserve">Complejidad ciclomática </t>
  </si>
  <si>
    <t xml:space="preserve">Profundidad de herencia </t>
  </si>
  <si>
    <t>Grado de localización de corrección de impacto</t>
  </si>
  <si>
    <t>X = A/B
A = Número  de fallas aparecidas después que se ha resuelto un fallo
B =  Número de fallas resueltas
Dónde:
B &gt; 0</t>
  </si>
  <si>
    <t>Complejidad de modificación</t>
  </si>
  <si>
    <t>X = A/T
A = Número de modificaciones 
B = Tiempo de trabajo que le toma al desarrollador modificar
Dónde:
T &gt; 0</t>
  </si>
  <si>
    <t xml:space="preserve">Número de accesos simultaneos (Max) </t>
  </si>
  <si>
    <t>Índice de éxito de modificación</t>
  </si>
  <si>
    <t>X = A/B
A = Número de problemas dentro de un determinado período antes de mantenimiento B = Número de problemas en el mismo período después del mantenimiento
Dónde:
B &gt; 0</t>
  </si>
  <si>
    <t>Completitud funcional de funciones de pruebas</t>
  </si>
  <si>
    <t>Capacidad de prueba autónoma</t>
  </si>
  <si>
    <t>X = A/B
A = Número  de funciones de prueba implementadas 
B = Número de funciones de prueba requeridas
Dónde:
B &gt; 0</t>
  </si>
  <si>
    <t>X = A/B
A = Número de pruebas que están dependiendo de otros sistemas
B = Número total de pruebas dependientes con otros sistemas
Dónde:
B &gt; 0</t>
  </si>
  <si>
    <t>Adaptabilidad en entorno hardware</t>
  </si>
  <si>
    <t>Adaptabilidad</t>
  </si>
  <si>
    <t>X = A/B
A =  Número funciones operativas de las tareas que no se hayan completado durante las pruebas operativas con el entorno hardware
B =  Número total de funciones que han sido probadas  
Dónde:
B &gt; 0</t>
  </si>
  <si>
    <t>Adaptabilidad en entorno de software</t>
  </si>
  <si>
    <t xml:space="preserve">X = A/B
A =  Número de funciones operativas de las tareas que no se hayan completado durante las pruebas operativas con el sistema
B =  Número total de funciones que han sido probadas 
Dónde:
B &gt; 0 </t>
  </si>
  <si>
    <t>Adaptabilidad en entorno empresarial</t>
  </si>
  <si>
    <t>X = A/B
A =  Número de funciones operativas de las tareas que no se hayan completado durante las pruebas operativas con usuarios del entorno empresarial
B =  Número total de funciones que han sido probadas  
Dónde:
B &gt; 0</t>
  </si>
  <si>
    <t>Consistencia en la función de soporte al usuario</t>
  </si>
  <si>
    <t>X = A/B
A =  Número de nuevas funciones que son consideradas como no consistentes por el usuario
B =  Número de nuevas funciones  
Dónde:
B &gt; 0</t>
  </si>
  <si>
    <t>Capacidad de ser Reemplazado</t>
  </si>
  <si>
    <t>Portabilidad</t>
  </si>
  <si>
    <t>Tiempo de servicio</t>
  </si>
  <si>
    <t>X = A/B
A = Tiempo de servicio del sistema que se proporciona actualmente
B = Tiempo de servicio del sistema regulado en el cronograma operacional
Dónde:
B &gt; 0</t>
  </si>
  <si>
    <t>Tiempo medio de inactividad</t>
  </si>
  <si>
    <t xml:space="preserve">X = A/T
A = Número de fallos observados
T = Tiempo total de inactividad
Dónde:
T &gt; 0
</t>
  </si>
  <si>
    <t>Prevención de fallas</t>
  </si>
  <si>
    <t>X = A/B
A = Número de ocurrencia de fallas evitadas contra los casos de pruebas de fallas iniciales
B =  Número  de casos de pruebas de fallas iniciales ejecutados durante las pruebas
Dónde:
B &gt; 0</t>
  </si>
  <si>
    <t>Sistema de transmisión de ancho de banda</t>
  </si>
  <si>
    <t>X = A/T
A= Cantidad máxima de transmisión de datos
T = Tiempo de operación
Dónde:
T &gt; 0</t>
  </si>
  <si>
    <t>Recuperabilidad de error operacional</t>
  </si>
  <si>
    <t>Claridad de mensajes</t>
  </si>
  <si>
    <t>Consistencia operacional</t>
  </si>
  <si>
    <t xml:space="preserve">Capacidad de ser probado </t>
  </si>
  <si>
    <t xml:space="preserve">Capacidad de reinicio de pruebas  </t>
  </si>
  <si>
    <t>X = A/B
A = Número de casos en los cuales el mantenedor puede pausar y restaurar las pruebas
B = Número de casos de pausa en la ejecución de pruebas
Dónde:
B &gt; 0</t>
  </si>
  <si>
    <t>Capacidad de ser Instalado</t>
  </si>
  <si>
    <t>Eficiencia en el tiempo de instalación</t>
  </si>
  <si>
    <t>Facilidad de instalación</t>
  </si>
  <si>
    <t>X = A/T
A =  Número de reintentos al instalar el sistema
T =  Tiempo total transcurrido al instalar el sistema
Dónde:
T &gt; 0</t>
  </si>
  <si>
    <t>X = A/B
A =  Número casos en que los usuarios tuvieron éxito al instalar el sistema cambiando proceso de instalación para su conveniencia
B =  Número total de casos en que los usuarios han intentado cambiar el proceso de instalación para su conveniencia
Dónde:
B &gt; 0</t>
  </si>
  <si>
    <t>Inclusividad funcional</t>
  </si>
  <si>
    <t>X = A/B
A =  Número de funciones que producen resultados similares con anterioridad y que no se han exigido cambios
B =  Número de funciones probadas que son similares a las funciones proporcionadas por otro software para ser reemplazado
Dónde:
B &gt; 0</t>
  </si>
  <si>
    <t>Uso continuo de datos</t>
  </si>
  <si>
    <t>X = A/B
A =  número de datos que son continuamente solo utilizables por el software a ser reemplazado
B =  Número de datos que son reutilizables por el software a ser reemplazado
Dónde:
B &gt; 0</t>
  </si>
  <si>
    <t>Efectividad</t>
  </si>
  <si>
    <t xml:space="preserve">Efectividad de la tarea </t>
  </si>
  <si>
    <t>X = A/B
A =  Número de errores cometidos por los usuarios
B =  Número de tareas
Dónde:
B &gt; 0</t>
  </si>
  <si>
    <t>Frecuencia de error</t>
  </si>
  <si>
    <t>Eficiencia</t>
  </si>
  <si>
    <t>Tiempo de la tarea</t>
  </si>
  <si>
    <t xml:space="preserve">Tiempo relativo de la tarea </t>
  </si>
  <si>
    <t>Eficiencia relativa de la tarea</t>
  </si>
  <si>
    <t xml:space="preserve">Eficiencia de la tarea
</t>
  </si>
  <si>
    <t>X = A/T
A = Número de tareas efectivas
T = Tiempo de la tarea
Dónde:
T &gt; 0</t>
  </si>
  <si>
    <t>X = A/B
A = Número de tareas eficientes realizadas por un usuario ordinario
B = Número de tareas eficientes planeadas
Dónde:
B &gt; 0</t>
  </si>
  <si>
    <t>Productividad económica</t>
  </si>
  <si>
    <t>Porcentaje productivo</t>
  </si>
  <si>
    <t>Numero relativo de acciones del usuario</t>
  </si>
  <si>
    <t>X = A/B
A =  Número de acciones realizadas por los usuarios 
B =  Número de acciones necesarias actualmente
Dónde:
B &gt; 0</t>
  </si>
  <si>
    <t>Satisfacción</t>
  </si>
  <si>
    <t>Utilidad</t>
  </si>
  <si>
    <t>Nivel de satisfacción</t>
  </si>
  <si>
    <t>X = A/B
A=    Numero de preguntas con respuesta satisfactorias 
B = Número total de preguntas realizadas en el cuestionario
Dónde:
B &gt; 0</t>
  </si>
  <si>
    <t>Porcentaje de quejas de los clientes</t>
  </si>
  <si>
    <t>X = A/B
A =  Número de clientes que se quejan
B =  Número total de clientes
Dónde: 
B &gt; 0</t>
  </si>
  <si>
    <t>Libertad de Riesgo</t>
  </si>
  <si>
    <t>Financiera</t>
  </si>
  <si>
    <t>Retorno de la Inversión (ROI)</t>
  </si>
  <si>
    <t>Tiempo para lograr el retorno de la inversión</t>
  </si>
  <si>
    <t>Rendimiento relativo de negocios</t>
  </si>
  <si>
    <t>Balanced Score Card</t>
  </si>
  <si>
    <t>X = A/B
A = Resultado del BSC
B = BSC planeado
Dónde: 
B &gt; 0</t>
  </si>
  <si>
    <t>Tiempo de entrega</t>
  </si>
  <si>
    <t>Ganancias para cada cliente</t>
  </si>
  <si>
    <t>X = A/B
A = Ingresos reales de un cliente
B = Ingresos planeados de un cliente
Dónde: 
B &gt; 0</t>
  </si>
  <si>
    <t xml:space="preserve">Errores con consecuencias económicas </t>
  </si>
  <si>
    <t>X = A/B
A = Número de errores con consecuencias económicas
B = Número total de situaciones de uso
Dónde: 
B &gt; 0</t>
  </si>
  <si>
    <t>Corrupción del software</t>
  </si>
  <si>
    <t>X = A/B
A = Número  de ocurrencias de corrupción del software  
B = Número total de situaciones de uso
Dónde: 
B &gt; 0</t>
  </si>
  <si>
    <t>Frecuencia de problemas en la salud y seguridad del usuario</t>
  </si>
  <si>
    <t>Salud y Seguridad</t>
  </si>
  <si>
    <t>X = A/B
A = Número de usuarios que notificaron problemas de salud
B = Número total de usuarios
Dónde: 
B &gt; 0</t>
  </si>
  <si>
    <t>Impacto en la salud y seguridad del usuario</t>
  </si>
  <si>
    <t>Seguridad de las personas afectadas por el uso del sistema</t>
  </si>
  <si>
    <t>X = A/B
A = Número  de personas puestas en peligro
B = Número total de personas potencialmente afectadas por el sistema
Dónde: 
B &gt; 0</t>
  </si>
  <si>
    <t>Ambiental</t>
  </si>
  <si>
    <t>Impacto Ambiental</t>
  </si>
  <si>
    <t>Cobertura de contexto</t>
  </si>
  <si>
    <t>Completitud de Contexto</t>
  </si>
  <si>
    <t>Función flexible del diseño</t>
  </si>
  <si>
    <t>Flexibilidad</t>
  </si>
  <si>
    <t>X = A/B
A= Número de características diseñadas con completa flexibilidad
B =  Número total de  características de diseño
Dónde:
B &gt; 0</t>
  </si>
  <si>
    <t>MATRIZ DE CALIDAD PARA EVALUAR LA CALIDAD INTERNA DE PRODUCTOS SOFTWARE  EN EMPRESAS DE DESARROLLO DE SOFTWARE APLICANDO LA NORMA ISO/IEC 25000</t>
  </si>
  <si>
    <t>MATRIZ DE CALIDAD PARA EVALUAR LA CALIDAD EXTERNA DE PRODUCTOS SOFTWARE  EN EMPRESAS DE DESARROLLO DE SOFTWARE APLICANDO LA NORMA ISO/IEC 25000</t>
  </si>
  <si>
    <t>MATRIZ DE CALIDAD PARA EVALUAR LA CALIDAD EN USO DE PRODUCTOS SOFTWARE  EN EMPRESAS DE DESARROLLO DE SOFTWARE APLICANDO LA NORMA ISO/IEC 25000</t>
  </si>
  <si>
    <t>NIVEL DE IMPORTANCIA</t>
  </si>
  <si>
    <t>M</t>
  </si>
  <si>
    <t>B</t>
  </si>
  <si>
    <t>Exactitud</t>
  </si>
  <si>
    <t>Presición computacional</t>
  </si>
  <si>
    <t>X = A/T
A = Numero de cálculos inexactos encontrados
T =  Tiempo de operación
Dónde:
T &gt; 0</t>
  </si>
  <si>
    <t>Deseado: 1
Peor caso: &gt;=4</t>
  </si>
  <si>
    <t>Deseado: 1
Peor caso: &gt;=15</t>
  </si>
  <si>
    <t>Deseado: 0
Peor caso: &gt;= 4</t>
  </si>
  <si>
    <t>Completitud de la tarea</t>
  </si>
  <si>
    <t>X = A/B 
A= Cantidad de objetivos completados por la tarea
B = Cantidad de objetivos planteados por la tarea</t>
  </si>
  <si>
    <t>X = A/B
A = Número de tareas efectivas
B = Número total de las tareas
Dónde:
B &gt; 0</t>
  </si>
  <si>
    <t>X = A/B
A = Tiempo de la tarea
B =  Tiempo de productividad
Dónde:
B &gt; 0</t>
  </si>
  <si>
    <t>X = A/B
A = Beneficios obtenidos
B = Beneficios esperados
Dónde:
B &gt; 0</t>
  </si>
  <si>
    <t>X = A/B
A = Tiempo real para lograr el ROI
B = Tiempo aceptable para lograr el ROI
Dónde:
B &gt; 0</t>
  </si>
  <si>
    <t>X = B/A
A = Monto de inversión de TI o las ventas planeadas  de la empresa para la comparación
B = Monto de la inversión de TI o de las ventas de la empresa
Dónde: 
A &gt; 0</t>
  </si>
  <si>
    <t>X = A/B
A = Tiempo de entrega planeado o  retrasos en las entregas
B = Tiempo de entrega actual o retrasos en las entregas
Dónde: 
B &gt; 0</t>
  </si>
  <si>
    <t>X = A/T
A =  Número de personas afectadas
T = Tiempo
Dónde: 
T&gt; 0</t>
  </si>
  <si>
    <t xml:space="preserve">X = A/B
A = Impacto ambiental aceptable
B = Impacto ambiental real
Dónde: 
B &gt; 0
</t>
  </si>
  <si>
    <t>X = A/B
A=  Número de distintos contextos de uso inacaptables
B =   Número total de distintos contextos de uso
Dónde:
B &gt; 0</t>
  </si>
  <si>
    <t>VALOR FINAL</t>
  </si>
  <si>
    <t>Interna</t>
  </si>
  <si>
    <t>Externa</t>
  </si>
  <si>
    <t>Uso</t>
  </si>
  <si>
    <t>Total</t>
  </si>
  <si>
    <t>X = A
A = Número de jerarquías empleadas para una determinada función</t>
  </si>
  <si>
    <t>Posibilidad de personalización</t>
  </si>
  <si>
    <t>Verificación de entradas válidas</t>
  </si>
  <si>
    <t>Prevención del uso incorrecto</t>
  </si>
  <si>
    <t>Personalización de la apariencia de la interfaz del usuario</t>
  </si>
  <si>
    <t>CALIDAD</t>
  </si>
  <si>
    <t>CALIDAD DEL SISTEMA</t>
  </si>
  <si>
    <t>NIVEL DE PUNTUACIÓN</t>
  </si>
  <si>
    <t>GRADO DE SATISFACCIÓN</t>
  </si>
  <si>
    <t>RESULTADO FINAL DEL ANÁLISIS DE CALIDAD DE PRODUCTOS SOFTWARE EN EMPRESAS DE DESARROLLO DE SOFTWARE APLICANDO LA NORMA ISO/IEC 25000</t>
  </si>
  <si>
    <t>A</t>
  </si>
  <si>
    <t>NA</t>
  </si>
  <si>
    <t>Anulacion de operación incorrecta</t>
  </si>
  <si>
    <t>APLICA</t>
  </si>
  <si>
    <t>Si</t>
  </si>
  <si>
    <t>No</t>
  </si>
  <si>
    <t>Seleccionar</t>
  </si>
  <si>
    <t>Deseado: 0/15min
Peor caso: &gt;=10/15min</t>
  </si>
  <si>
    <t>Deseado: 3
Peor caso: 0</t>
  </si>
  <si>
    <t>PONDERACIÓN (/10)</t>
  </si>
  <si>
    <t>X = A / B
A= Número de operaciones incorrectas presentadas
B = Número total de funciones implementadas para anular operaciones incorrectas
Dónde:
B &gt; 0</t>
  </si>
  <si>
    <t>X = A/B
A = Cantidad de memoria que es usado para realizar una tarea</t>
  </si>
  <si>
    <t>Deseado: 0%
Peor caso: &gt;=10%</t>
  </si>
  <si>
    <t>Deseado: 0 %
Peor caso: &gt;=10%</t>
  </si>
  <si>
    <t>X = A
A=  Cantidad de CPU que es usado para realizar una tarea</t>
  </si>
  <si>
    <t>X = A / B
A= Número de componentes/sistemas instalados de forma redundante
B = Número total de componentes/sistemas instalados 
Dónde:
B &gt; 0</t>
  </si>
  <si>
    <t>X = B-A
A = Tiempo que los dispositivos de E/S pasan ocupados en realizar una tarea 
B =  Tiempo de operación
Dónde:
B &gt; 0</t>
  </si>
  <si>
    <t>X = A / B
A= Número de funciones implementadas con tolerancia de error de usuarios
B = Número total de funciones requeridas con capacidad de tolerancia
Dónde:
B &gt; 0</t>
  </si>
  <si>
    <t>X = A/B
A =  Número operaciones iniciales incorrectas  
B = Número de funciones implementadas para evitar fallos de funcionamiento provocados por un uso incorrecto
Dónde:
B &gt; 0</t>
  </si>
  <si>
    <t>X = A/B
A =  Número de sistemas con las que el producto puede coexistir
B =  Número de sistemas con las que el producto requiere de coexistencia
Dónde:
B &gt; 0</t>
  </si>
  <si>
    <t>X = A / B
A =  Número de datos grabadas durante la operación
B =  Número de datos previstos a grabarse para controlar el estado del sistema durante la operación
Dónde:
B &gt; 0</t>
  </si>
  <si>
    <t>Completitud de la implementación funcional</t>
  </si>
  <si>
    <t>X = A / B
A =  Número  de accesos al sistemas ocurridos en la realidad
B = Número de accesos al sistema registrados en el log del sistema
Dónde:
B &gt; 0</t>
  </si>
  <si>
    <t>X = A/B
A=   Número  de tareas completadas
B = Número total de tareas intentadas
Dónde:
B &gt; 0</t>
  </si>
  <si>
    <t>X = A/B
A=  Número de veces que se utilizan las funciones/sistemas del software 
B=  Número de veces que están destinados a ser usados
Dónde: 
B &gt; 0</t>
  </si>
  <si>
    <t>Uso discrecional de las funciones del sistema</t>
  </si>
  <si>
    <t>Deseado: 0/12 meses
Peor caso: &gt;=5/12 meses</t>
  </si>
  <si>
    <t>X = A/B
A= Número de funciones (o tipo de funciones) evidentes al usuario
B = Número total de funciones (o tipo de funciones)
Dónde:
B &gt; 0</t>
  </si>
  <si>
    <t>X = A/B
A= Número de funciones descritas correctamente
B = Número  total de funciones implementadas
Dónde:
B &gt; 0</t>
  </si>
  <si>
    <t>X = A/B
A= Número de mensajes implementados con explicaciones claras
B = Número total de mensajes implementados
Dónde:
B &gt; 0</t>
  </si>
  <si>
    <t>X = A/B
A= Número de  de operaciones que se comportan de manera incoherente
B = Número total de operaciones que se comportan de forma normal
Dónde:
B &gt; 0</t>
  </si>
  <si>
    <t>X = A/B
A =  Número de funciones implementadas que pueden ser personalizados durante la operación
B =  Número de funciones que requieran la capacidad de personalización
Dónde:
B &gt; 0</t>
  </si>
  <si>
    <t>X = A / B
A =  Número de sistemas que no son afectados por cambios en el sistema
B =  Número total de sistemas específicos
Dónde:
B &gt; 0</t>
  </si>
  <si>
    <t>Deseado: 20 min
Peor caso: &gt;20 min</t>
  </si>
  <si>
    <t>Deseado: 15 seg
Peor caso: &gt;15 seg</t>
  </si>
  <si>
    <t>Deseado: &gt;=10/20min
Peor caso: 0/20min</t>
  </si>
  <si>
    <t>Deseado: &gt;=10/3min
Peor caso: 0/3min</t>
  </si>
  <si>
    <t>Deseado: &gt;=1/60min
Peor caso: 0/60min</t>
  </si>
  <si>
    <t>X = B-A
A = Tiempo que los dispositivos de E/S pasan ocupados para realizar la tarea 
B =  Tiempo de operación
Dónde:
B &gt; 0</t>
  </si>
  <si>
    <t>X = A/B
A = Tiempo que completa una tarea un usuario experto (seg)
B = Tiempo que completa una tarea un usuario normal (seg)
Dónde:
B &gt; 0</t>
  </si>
  <si>
    <t>Deseado: &gt;=10/15min
Peor caso: 0/15min</t>
  </si>
  <si>
    <t>Calidad Total</t>
  </si>
  <si>
    <t>Calidad Faltante</t>
  </si>
  <si>
    <t>CALIDAD TOTAL OBTENIDO DEL SISTEMA LOGINOTIFICADOR</t>
  </si>
  <si>
    <t>CALIDAD INTERNA, EXTERNA Y EN USO OBTENIDO DEL SISTEMA LOGINOTIFICADOR</t>
  </si>
  <si>
    <t>Calidad Interna</t>
  </si>
  <si>
    <t>Calidad Externa</t>
  </si>
  <si>
    <t>Calidad en Uso</t>
  </si>
  <si>
    <t>Deseado: 10 seg
Peor caso: &gt;10 seg</t>
  </si>
  <si>
    <t>Grado de Satisfacción</t>
  </si>
  <si>
    <t>Calidad</t>
  </si>
  <si>
    <t>Calidad obtenida</t>
  </si>
  <si>
    <t>Características</t>
  </si>
  <si>
    <t>Nivel de importancia</t>
  </si>
  <si>
    <t>Valor Parcial Total (/10)</t>
  </si>
  <si>
    <t>Porcentaje de Importancia</t>
  </si>
  <si>
    <t>Valor Final</t>
  </si>
  <si>
    <t>CALIDAD INTERNA</t>
  </si>
  <si>
    <t>CALIDAD EXTERNA</t>
  </si>
  <si>
    <t>CALIDAD EN USO</t>
  </si>
  <si>
    <t>Cobertura de Contexto</t>
  </si>
  <si>
    <t>Calidad Total del Sistema (/10)</t>
  </si>
  <si>
    <t>Subtotal de la Calidad del Sistema (/10)</t>
  </si>
  <si>
    <t xml:space="preserve">VALOR TOTAL OBTENIDO DE CADA CARACTERÍSTICAS DE CALIDAD </t>
  </si>
  <si>
    <t>Valor obtenido</t>
  </si>
  <si>
    <t>Calidad Obtenida</t>
  </si>
  <si>
    <t>X = A/B
A=Tiempo planeado (min)
B=Tiempo actual (min)
Dónde:
B &gt; 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</si>
</sst>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quot;$&quot;\ #,##0.00"/>
  </numFmts>
  <fonts count="22" x14ac:knownFonts="1">
    <font>
      <sz val="11"/>
      <color theme="1"/>
      <name val="Calibri"/>
      <family val="2"/>
      <scheme val="minor"/>
    </font>
    <font>
      <sz val="11"/>
      <color theme="1"/>
      <name val="Verdana"/>
      <family val="2"/>
    </font>
    <font>
      <b/>
      <sz val="11"/>
      <color theme="1"/>
      <name val="Verdana"/>
      <family val="2"/>
    </font>
    <font>
      <b/>
      <sz val="10"/>
      <color theme="1"/>
      <name val="Verdana"/>
      <family val="2"/>
    </font>
    <font>
      <sz val="10"/>
      <color theme="1"/>
      <name val="Verdana"/>
      <family val="2"/>
    </font>
    <font>
      <sz val="10"/>
      <color rgb="FFFF0000"/>
      <name val="Verdana"/>
      <family val="2"/>
    </font>
    <font>
      <sz val="12"/>
      <color theme="1"/>
      <name val="Arial"/>
      <family val="2"/>
    </font>
    <font>
      <b/>
      <sz val="11"/>
      <color theme="8"/>
      <name val="Verdana"/>
      <family val="2"/>
    </font>
    <font>
      <b/>
      <sz val="14"/>
      <color theme="8"/>
      <name val="Verdana"/>
      <family val="2"/>
    </font>
    <font>
      <sz val="11"/>
      <color theme="1"/>
      <name val="Calibri"/>
      <family val="2"/>
      <scheme val="minor"/>
    </font>
    <font>
      <b/>
      <sz val="12"/>
      <color rgb="FFFF0000"/>
      <name val="Verdana"/>
      <family val="2"/>
    </font>
    <font>
      <b/>
      <sz val="16"/>
      <color theme="1"/>
      <name val="Verdana"/>
      <family val="2"/>
    </font>
    <font>
      <sz val="15"/>
      <color rgb="FFFF0000"/>
      <name val="Verdana"/>
      <family val="2"/>
    </font>
    <font>
      <sz val="11"/>
      <color rgb="FFFF0000"/>
      <name val="Verdana"/>
      <family val="2"/>
    </font>
    <font>
      <b/>
      <sz val="28"/>
      <color theme="1"/>
      <name val="Verdana"/>
      <family val="2"/>
    </font>
    <font>
      <sz val="11"/>
      <color rgb="FFC00000"/>
      <name val="Verdana"/>
      <family val="2"/>
    </font>
    <font>
      <b/>
      <sz val="11"/>
      <color theme="1"/>
      <name val="Calibri"/>
      <family val="2"/>
      <scheme val="minor"/>
    </font>
    <font>
      <sz val="11"/>
      <color theme="1"/>
      <name val="Arial"/>
      <family val="2"/>
    </font>
    <font>
      <b/>
      <sz val="13"/>
      <color rgb="FFFFFFFF"/>
      <name val="Arial"/>
      <family val="2"/>
    </font>
    <font>
      <sz val="10"/>
      <color theme="1"/>
      <name val="Arial"/>
      <family val="2"/>
    </font>
    <font>
      <b/>
      <sz val="11"/>
      <color rgb="FF1F497D"/>
      <name val="Arial"/>
      <family val="2"/>
    </font>
    <font>
      <b/>
      <sz val="14"/>
      <color theme="1"/>
      <name val="Arial"/>
      <family val="2"/>
    </font>
  </fonts>
  <fills count="6">
    <fill>
      <patternFill patternType="none"/>
    </fill>
    <fill>
      <patternFill patternType="gray125"/>
    </fill>
    <fill>
      <patternFill patternType="solid">
        <fgColor rgb="FFC6D9F1"/>
        <bgColor indexed="64"/>
      </patternFill>
    </fill>
    <fill>
      <patternFill patternType="solid">
        <fgColor theme="0"/>
        <bgColor indexed="64"/>
      </patternFill>
    </fill>
    <fill>
      <patternFill patternType="solid">
        <fgColor theme="4" tint="0.79998168889431442"/>
        <bgColor indexed="64"/>
      </patternFill>
    </fill>
    <fill>
      <patternFill patternType="solid">
        <fgColor rgb="FF4F81BD"/>
        <bgColor indexed="64"/>
      </patternFill>
    </fill>
  </fills>
  <borders count="23">
    <border>
      <left/>
      <right/>
      <top/>
      <bottom/>
      <diagonal/>
    </border>
    <border>
      <left style="medium">
        <color theme="8"/>
      </left>
      <right style="medium">
        <color theme="8"/>
      </right>
      <top style="medium">
        <color theme="8"/>
      </top>
      <bottom style="medium">
        <color theme="8"/>
      </bottom>
      <diagonal/>
    </border>
    <border>
      <left style="medium">
        <color theme="8"/>
      </left>
      <right/>
      <top style="medium">
        <color theme="8"/>
      </top>
      <bottom style="medium">
        <color theme="8"/>
      </bottom>
      <diagonal/>
    </border>
    <border>
      <left/>
      <right/>
      <top style="medium">
        <color theme="8"/>
      </top>
      <bottom style="medium">
        <color theme="8"/>
      </bottom>
      <diagonal/>
    </border>
    <border>
      <left/>
      <right style="medium">
        <color theme="8"/>
      </right>
      <top style="medium">
        <color theme="8"/>
      </top>
      <bottom style="medium">
        <color theme="8"/>
      </bottom>
      <diagonal/>
    </border>
    <border>
      <left style="medium">
        <color theme="8"/>
      </left>
      <right style="medium">
        <color theme="8"/>
      </right>
      <top style="medium">
        <color theme="8"/>
      </top>
      <bottom/>
      <diagonal/>
    </border>
    <border>
      <left style="medium">
        <color theme="8"/>
      </left>
      <right style="medium">
        <color theme="8"/>
      </right>
      <top/>
      <bottom/>
      <diagonal/>
    </border>
    <border>
      <left style="medium">
        <color theme="8"/>
      </left>
      <right style="medium">
        <color theme="8"/>
      </right>
      <top/>
      <bottom style="medium">
        <color theme="8"/>
      </bottom>
      <diagonal/>
    </border>
    <border>
      <left style="medium">
        <color theme="8"/>
      </left>
      <right/>
      <top style="medium">
        <color theme="8"/>
      </top>
      <bottom/>
      <diagonal/>
    </border>
    <border>
      <left/>
      <right style="medium">
        <color theme="8"/>
      </right>
      <top style="medium">
        <color theme="8"/>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style="medium">
        <color theme="8"/>
      </right>
      <top/>
      <bottom style="medium">
        <color theme="8"/>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style="medium">
        <color rgb="FF4F81BD"/>
      </right>
      <top/>
      <bottom/>
      <diagonal/>
    </border>
    <border>
      <left/>
      <right style="medium">
        <color rgb="FF4F81BD"/>
      </right>
      <top/>
      <bottom style="medium">
        <color rgb="FF4F81BD"/>
      </bottom>
      <diagonal/>
    </border>
    <border>
      <left style="medium">
        <color rgb="FF4F81BD"/>
      </left>
      <right/>
      <top/>
      <bottom/>
      <diagonal/>
    </border>
    <border>
      <left style="medium">
        <color rgb="FF4F81BD"/>
      </left>
      <right style="medium">
        <color rgb="FF4F81BD"/>
      </right>
      <top/>
      <bottom style="medium">
        <color rgb="FF4F81BD"/>
      </bottom>
      <diagonal/>
    </border>
    <border>
      <left style="medium">
        <color rgb="FF4F81BD"/>
      </left>
      <right/>
      <top/>
      <bottom style="medium">
        <color rgb="FF4F81BD"/>
      </bottom>
      <diagonal/>
    </border>
  </borders>
  <cellStyleXfs count="3">
    <xf numFmtId="0" fontId="0" fillId="0" borderId="0"/>
    <xf numFmtId="9" fontId="9" fillId="0" borderId="0" applyFont="0" applyFill="0" applyBorder="0" applyAlignment="0" applyProtection="0"/>
    <xf numFmtId="43" fontId="9" fillId="0" borderId="0" applyFont="0" applyFill="0" applyBorder="0" applyAlignment="0" applyProtection="0"/>
  </cellStyleXfs>
  <cellXfs count="190">
    <xf numFmtId="0" fontId="0" fillId="0" borderId="0" xfId="0"/>
    <xf numFmtId="0" fontId="0" fillId="0" borderId="0" xfId="0"/>
    <xf numFmtId="0" fontId="1" fillId="0" borderId="1" xfId="0" applyFont="1" applyBorder="1" applyAlignment="1">
      <alignment horizontal="center" vertical="center" wrapText="1"/>
    </xf>
    <xf numFmtId="2" fontId="1"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2" fontId="10" fillId="0" borderId="1" xfId="0" applyNumberFormat="1" applyFont="1" applyBorder="1" applyAlignment="1">
      <alignment horizontal="center" vertical="center" wrapText="1"/>
    </xf>
    <xf numFmtId="2" fontId="5" fillId="0" borderId="13" xfId="0" applyNumberFormat="1" applyFont="1" applyBorder="1" applyAlignment="1" applyProtection="1">
      <alignment horizontal="center" vertical="center"/>
    </xf>
    <xf numFmtId="0" fontId="5" fillId="0" borderId="13" xfId="0" applyNumberFormat="1" applyFont="1" applyBorder="1" applyAlignment="1" applyProtection="1">
      <alignment horizontal="center" vertical="center"/>
    </xf>
    <xf numFmtId="0" fontId="4" fillId="0" borderId="11" xfId="0" applyFont="1" applyBorder="1" applyAlignment="1" applyProtection="1">
      <alignment horizontal="center" vertical="center"/>
      <protection locked="0"/>
    </xf>
    <xf numFmtId="0" fontId="1" fillId="0" borderId="0" xfId="0" applyFont="1" applyAlignment="1" applyProtection="1">
      <protection locked="0"/>
    </xf>
    <xf numFmtId="0" fontId="1" fillId="0" borderId="0" xfId="0" applyFont="1" applyProtection="1">
      <protection locked="0"/>
    </xf>
    <xf numFmtId="0" fontId="6" fillId="0" borderId="0" xfId="0" applyFont="1" applyProtection="1">
      <protection locked="0"/>
    </xf>
    <xf numFmtId="164" fontId="2" fillId="0" borderId="1" xfId="0" applyNumberFormat="1" applyFont="1" applyFill="1" applyBorder="1" applyAlignment="1" applyProtection="1">
      <alignment horizontal="center" vertical="center" wrapText="1"/>
      <protection locked="0"/>
    </xf>
    <xf numFmtId="0" fontId="3" fillId="0" borderId="8"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1" fillId="3" borderId="0" xfId="0" applyFont="1" applyFill="1" applyProtection="1">
      <protection locked="0"/>
    </xf>
    <xf numFmtId="0" fontId="3" fillId="0" borderId="8"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protection locked="0"/>
    </xf>
    <xf numFmtId="0" fontId="3" fillId="0" borderId="12" xfId="0" applyFont="1" applyFill="1" applyBorder="1" applyAlignment="1" applyProtection="1">
      <alignment horizontal="center" vertical="center"/>
      <protection locked="0"/>
    </xf>
    <xf numFmtId="0" fontId="2" fillId="0" borderId="0" xfId="0" applyFont="1" applyAlignment="1" applyProtection="1">
      <alignment vertical="center"/>
      <protection locked="0"/>
    </xf>
    <xf numFmtId="0" fontId="4" fillId="0" borderId="9" xfId="0" applyFont="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164" fontId="2" fillId="0" borderId="1" xfId="0" applyNumberFormat="1" applyFont="1" applyFill="1" applyBorder="1" applyAlignment="1" applyProtection="1">
      <alignment horizontal="center" vertical="center" wrapText="1"/>
      <protection locked="0"/>
    </xf>
    <xf numFmtId="0" fontId="2" fillId="0" borderId="1" xfId="0" applyFont="1" applyBorder="1" applyAlignment="1">
      <alignment horizontal="center" vertical="center" wrapText="1"/>
    </xf>
    <xf numFmtId="0" fontId="4" fillId="0" borderId="9" xfId="0" applyFont="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164" fontId="2" fillId="0" borderId="1" xfId="0" applyNumberFormat="1"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protection locked="0"/>
    </xf>
    <xf numFmtId="0" fontId="7" fillId="0" borderId="0" xfId="0" applyFont="1" applyAlignment="1" applyProtection="1">
      <alignment horizontal="center" vertical="center" wrapText="1"/>
      <protection locked="0"/>
    </xf>
    <xf numFmtId="9" fontId="7" fillId="0" borderId="0" xfId="1" applyFont="1" applyAlignment="1" applyProtection="1">
      <alignment horizontal="center" vertical="center" wrapText="1"/>
      <protection locked="0"/>
    </xf>
    <xf numFmtId="9" fontId="1" fillId="0" borderId="0" xfId="1" applyFont="1" applyProtection="1">
      <protection locked="0"/>
    </xf>
    <xf numFmtId="9" fontId="2" fillId="0" borderId="1" xfId="1" applyFont="1" applyFill="1" applyBorder="1" applyAlignment="1" applyProtection="1">
      <alignment horizontal="center" vertical="center" wrapText="1"/>
      <protection locked="0"/>
    </xf>
    <xf numFmtId="0" fontId="6" fillId="0" borderId="0" xfId="0" applyNumberFormat="1" applyFont="1" applyProtection="1">
      <protection locked="0"/>
    </xf>
    <xf numFmtId="0" fontId="1" fillId="0" borderId="0" xfId="0" applyNumberFormat="1" applyFont="1" applyProtection="1">
      <protection locked="0"/>
    </xf>
    <xf numFmtId="0" fontId="2" fillId="0" borderId="1" xfId="0" applyNumberFormat="1" applyFont="1" applyFill="1" applyBorder="1" applyAlignment="1" applyProtection="1">
      <alignment horizontal="center" vertical="center" wrapText="1"/>
      <protection locked="0"/>
    </xf>
    <xf numFmtId="164" fontId="2" fillId="0" borderId="1" xfId="0" applyNumberFormat="1" applyFont="1" applyFill="1" applyBorder="1" applyAlignment="1" applyProtection="1">
      <alignment horizontal="center" vertical="center" wrapText="1"/>
    </xf>
    <xf numFmtId="164" fontId="2" fillId="0" borderId="1" xfId="0" applyNumberFormat="1" applyFont="1" applyFill="1" applyBorder="1" applyAlignment="1" applyProtection="1">
      <alignment horizontal="center" vertical="center" wrapText="1"/>
    </xf>
    <xf numFmtId="0" fontId="4" fillId="0" borderId="9" xfId="0" applyFont="1" applyBorder="1" applyAlignment="1" applyProtection="1">
      <alignment horizontal="center" vertical="center"/>
      <protection locked="0"/>
    </xf>
    <xf numFmtId="0" fontId="5" fillId="0" borderId="11" xfId="0" applyFont="1" applyBorder="1" applyAlignment="1" applyProtection="1">
      <alignment horizontal="center" vertical="center"/>
    </xf>
    <xf numFmtId="0" fontId="4" fillId="0" borderId="9"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0" fontId="4" fillId="0" borderId="9" xfId="0" applyFont="1" applyFill="1" applyBorder="1" applyAlignment="1" applyProtection="1">
      <alignment horizontal="center" vertical="center"/>
      <protection locked="0"/>
    </xf>
    <xf numFmtId="0" fontId="4" fillId="0" borderId="11" xfId="0" applyFont="1" applyFill="1" applyBorder="1" applyAlignment="1" applyProtection="1">
      <alignment horizontal="center" vertical="center"/>
    </xf>
    <xf numFmtId="0" fontId="4" fillId="0" borderId="11" xfId="0" applyFont="1" applyBorder="1" applyAlignment="1" applyProtection="1">
      <alignment horizontal="center" vertical="center"/>
    </xf>
    <xf numFmtId="9" fontId="15" fillId="3" borderId="0" xfId="0" applyNumberFormat="1" applyFont="1" applyFill="1" applyAlignment="1" applyProtection="1">
      <alignment horizontal="center" vertical="center"/>
    </xf>
    <xf numFmtId="9" fontId="15" fillId="0" borderId="0" xfId="1" applyFont="1" applyAlignment="1" applyProtection="1">
      <alignment horizontal="center" vertical="center"/>
    </xf>
    <xf numFmtId="2" fontId="0" fillId="0" borderId="0" xfId="0" applyNumberFormat="1"/>
    <xf numFmtId="9" fontId="0" fillId="0" borderId="0" xfId="1" applyFont="1"/>
    <xf numFmtId="9" fontId="0" fillId="0" borderId="0" xfId="1" applyNumberFormat="1" applyFont="1"/>
    <xf numFmtId="9" fontId="0" fillId="0" borderId="0" xfId="0" applyNumberFormat="1"/>
    <xf numFmtId="9" fontId="0" fillId="0" borderId="0" xfId="2" applyNumberFormat="1" applyFont="1"/>
    <xf numFmtId="0" fontId="16" fillId="0" borderId="0" xfId="0" applyFont="1" applyAlignment="1">
      <alignment horizontal="center"/>
    </xf>
    <xf numFmtId="0" fontId="19" fillId="0" borderId="18" xfId="0" applyFont="1" applyBorder="1" applyAlignment="1">
      <alignment horizontal="center" vertical="center" wrapText="1"/>
    </xf>
    <xf numFmtId="2" fontId="19" fillId="0" borderId="19" xfId="0" applyNumberFormat="1" applyFont="1" applyBorder="1" applyAlignment="1">
      <alignment horizontal="center" vertical="center" wrapText="1"/>
    </xf>
    <xf numFmtId="0" fontId="19" fillId="0" borderId="19" xfId="0" applyFont="1" applyBorder="1" applyAlignment="1">
      <alignment horizontal="center" vertical="center" wrapText="1"/>
    </xf>
    <xf numFmtId="9" fontId="19" fillId="0" borderId="19" xfId="1" applyFont="1" applyBorder="1" applyAlignment="1">
      <alignment horizontal="center" vertical="center" wrapText="1"/>
    </xf>
    <xf numFmtId="0" fontId="19" fillId="0" borderId="16" xfId="0" applyFont="1" applyBorder="1" applyAlignment="1">
      <alignment horizontal="center" vertical="center" wrapText="1"/>
    </xf>
    <xf numFmtId="9" fontId="19" fillId="0" borderId="19" xfId="0" applyNumberFormat="1" applyFont="1" applyBorder="1" applyAlignment="1">
      <alignment horizontal="center" vertical="center" wrapText="1"/>
    </xf>
    <xf numFmtId="0" fontId="20" fillId="0" borderId="16" xfId="0" applyFont="1" applyBorder="1" applyAlignment="1">
      <alignment horizontal="center" vertical="center" wrapText="1"/>
    </xf>
    <xf numFmtId="0" fontId="20" fillId="0" borderId="17" xfId="0" applyFont="1" applyBorder="1" applyAlignment="1">
      <alignment horizontal="center" vertical="center" wrapText="1"/>
    </xf>
    <xf numFmtId="0" fontId="19" fillId="0" borderId="21" xfId="0" applyFont="1" applyBorder="1" applyAlignment="1">
      <alignment horizontal="center" vertical="center" wrapText="1"/>
    </xf>
    <xf numFmtId="0" fontId="17" fillId="0" borderId="21" xfId="0" applyFont="1" applyBorder="1" applyAlignment="1">
      <alignment horizontal="center" vertical="center" wrapText="1"/>
    </xf>
    <xf numFmtId="9" fontId="17" fillId="0" borderId="21" xfId="0" applyNumberFormat="1" applyFont="1" applyBorder="1" applyAlignment="1">
      <alignment horizontal="center" vertical="center" wrapText="1"/>
    </xf>
    <xf numFmtId="0" fontId="18" fillId="0" borderId="0" xfId="0" applyFont="1" applyFill="1" applyBorder="1" applyAlignment="1">
      <alignment vertical="center" textRotation="90" wrapText="1"/>
    </xf>
    <xf numFmtId="9" fontId="19" fillId="0" borderId="21" xfId="0" applyNumberFormat="1" applyFont="1" applyBorder="1" applyAlignment="1">
      <alignment horizontal="center" vertical="center" wrapText="1"/>
    </xf>
    <xf numFmtId="0" fontId="20" fillId="0" borderId="0" xfId="0" applyFont="1" applyFill="1" applyBorder="1" applyAlignment="1">
      <alignment horizontal="center" vertical="center" wrapText="1"/>
    </xf>
    <xf numFmtId="0" fontId="19" fillId="0" borderId="0" xfId="0" applyFont="1" applyBorder="1" applyAlignment="1">
      <alignment horizontal="center" vertical="center" wrapText="1"/>
    </xf>
    <xf numFmtId="9" fontId="15" fillId="0" borderId="0" xfId="1" applyFont="1" applyAlignment="1" applyProtection="1">
      <alignment horizontal="center"/>
    </xf>
    <xf numFmtId="0" fontId="4" fillId="0" borderId="5" xfId="0" applyFont="1" applyBorder="1" applyAlignment="1" applyProtection="1">
      <alignment horizontal="center" vertical="center"/>
    </xf>
    <xf numFmtId="0" fontId="4" fillId="0" borderId="6" xfId="0" applyFont="1" applyBorder="1" applyAlignment="1" applyProtection="1">
      <alignment horizontal="center" vertical="center"/>
    </xf>
    <xf numFmtId="0" fontId="4" fillId="0" borderId="7" xfId="0" applyFont="1" applyBorder="1" applyAlignment="1" applyProtection="1">
      <alignment horizontal="center" vertical="center"/>
    </xf>
    <xf numFmtId="0" fontId="4" fillId="0" borderId="5"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4" fillId="0" borderId="5" xfId="0" applyNumberFormat="1" applyFont="1" applyBorder="1" applyAlignment="1" applyProtection="1">
      <alignment horizontal="center" vertical="center"/>
      <protection locked="0"/>
    </xf>
    <xf numFmtId="0" fontId="4" fillId="0" borderId="6" xfId="0" applyNumberFormat="1" applyFont="1" applyBorder="1" applyAlignment="1" applyProtection="1">
      <alignment horizontal="center" vertical="center"/>
      <protection locked="0"/>
    </xf>
    <xf numFmtId="0" fontId="4" fillId="0" borderId="7" xfId="0" applyNumberFormat="1"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4" fillId="0" borderId="5" xfId="0" applyFont="1" applyBorder="1" applyAlignment="1" applyProtection="1">
      <alignment horizontal="center" vertical="center" wrapText="1"/>
      <protection locked="0"/>
    </xf>
    <xf numFmtId="0" fontId="4" fillId="0" borderId="8" xfId="0" applyFont="1" applyBorder="1" applyAlignment="1" applyProtection="1">
      <alignment horizontal="center" vertical="center" wrapText="1"/>
      <protection locked="0"/>
    </xf>
    <xf numFmtId="0" fontId="4" fillId="0" borderId="9"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2" fontId="4" fillId="0" borderId="5" xfId="0" applyNumberFormat="1" applyFont="1" applyBorder="1" applyAlignment="1" applyProtection="1">
      <alignment horizontal="center" vertical="center"/>
    </xf>
    <xf numFmtId="2" fontId="4" fillId="0" borderId="6" xfId="0" applyNumberFormat="1" applyFont="1" applyBorder="1" applyAlignment="1" applyProtection="1">
      <alignment horizontal="center" vertical="center"/>
    </xf>
    <xf numFmtId="0" fontId="4" fillId="0" borderId="5"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4" fillId="0" borderId="5"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protection locked="0"/>
    </xf>
    <xf numFmtId="0" fontId="4" fillId="0" borderId="6" xfId="0" applyFont="1" applyBorder="1" applyAlignment="1" applyProtection="1">
      <alignment horizontal="center" vertical="center" wrapText="1"/>
      <protection locked="0"/>
    </xf>
    <xf numFmtId="0" fontId="4" fillId="0" borderId="7" xfId="0" applyFont="1" applyBorder="1" applyAlignment="1" applyProtection="1">
      <alignment horizontal="center" vertical="center" wrapText="1"/>
      <protection locked="0"/>
    </xf>
    <xf numFmtId="0" fontId="4" fillId="0" borderId="6" xfId="0" applyFont="1" applyFill="1" applyBorder="1" applyAlignment="1" applyProtection="1">
      <alignment horizontal="center" vertical="center" wrapText="1"/>
      <protection locked="0"/>
    </xf>
    <xf numFmtId="0" fontId="4" fillId="0" borderId="7" xfId="0" applyFont="1" applyFill="1" applyBorder="1" applyAlignment="1" applyProtection="1">
      <alignment horizontal="center" vertical="center" wrapText="1"/>
      <protection locked="0"/>
    </xf>
    <xf numFmtId="0" fontId="2" fillId="2" borderId="2" xfId="0" applyFont="1" applyFill="1" applyBorder="1" applyAlignment="1" applyProtection="1">
      <alignment horizontal="center" vertical="center" wrapText="1"/>
      <protection locked="0"/>
    </xf>
    <xf numFmtId="0" fontId="2" fillId="2" borderId="3" xfId="0" applyFont="1" applyFill="1" applyBorder="1" applyAlignment="1" applyProtection="1">
      <alignment horizontal="center" vertical="center" wrapText="1"/>
      <protection locked="0"/>
    </xf>
    <xf numFmtId="0" fontId="2" fillId="2" borderId="4" xfId="0" applyFont="1" applyFill="1" applyBorder="1" applyAlignment="1" applyProtection="1">
      <alignment horizontal="center" vertical="center" wrapText="1"/>
      <protection locked="0"/>
    </xf>
    <xf numFmtId="9" fontId="4" fillId="0" borderId="5" xfId="0" applyNumberFormat="1" applyFont="1" applyBorder="1" applyAlignment="1" applyProtection="1">
      <alignment horizontal="center" vertical="center"/>
      <protection locked="0"/>
    </xf>
    <xf numFmtId="2" fontId="4" fillId="0" borderId="7" xfId="0" applyNumberFormat="1" applyFont="1" applyBorder="1" applyAlignment="1" applyProtection="1">
      <alignment horizontal="center" vertical="center"/>
    </xf>
    <xf numFmtId="0" fontId="4" fillId="0" borderId="8" xfId="0" applyFont="1" applyBorder="1" applyAlignment="1" applyProtection="1">
      <alignment horizontal="center" vertical="center"/>
      <protection locked="0"/>
    </xf>
    <xf numFmtId="0" fontId="4" fillId="0" borderId="12" xfId="0" applyFont="1" applyBorder="1" applyAlignment="1" applyProtection="1">
      <alignment horizontal="center" vertical="center"/>
      <protection locked="0"/>
    </xf>
    <xf numFmtId="0" fontId="4" fillId="0" borderId="13" xfId="0" applyFont="1" applyBorder="1" applyAlignment="1" applyProtection="1">
      <alignment horizontal="center" vertical="center"/>
      <protection locked="0"/>
    </xf>
    <xf numFmtId="2" fontId="4" fillId="3" borderId="1" xfId="0" applyNumberFormat="1" applyFont="1" applyFill="1" applyBorder="1" applyAlignment="1" applyProtection="1">
      <alignment horizontal="center" vertical="center"/>
    </xf>
    <xf numFmtId="0" fontId="4" fillId="0" borderId="1" xfId="0" applyFont="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2" fontId="4" fillId="0" borderId="5" xfId="0" applyNumberFormat="1" applyFont="1" applyFill="1" applyBorder="1" applyAlignment="1" applyProtection="1">
      <alignment horizontal="center" vertical="center"/>
    </xf>
    <xf numFmtId="2" fontId="4" fillId="0" borderId="6" xfId="0" applyNumberFormat="1" applyFont="1" applyFill="1" applyBorder="1" applyAlignment="1" applyProtection="1">
      <alignment horizontal="center" vertical="center"/>
    </xf>
    <xf numFmtId="2" fontId="4" fillId="0" borderId="7" xfId="0" applyNumberFormat="1" applyFont="1" applyFill="1" applyBorder="1" applyAlignment="1" applyProtection="1">
      <alignment horizontal="center" vertical="center"/>
    </xf>
    <xf numFmtId="0" fontId="4" fillId="0" borderId="1" xfId="0" applyFont="1" applyBorder="1" applyAlignment="1" applyProtection="1">
      <alignment horizontal="center" vertical="center" wrapText="1"/>
    </xf>
    <xf numFmtId="2" fontId="4" fillId="0" borderId="1" xfId="0" applyNumberFormat="1" applyFont="1" applyBorder="1" applyAlignment="1" applyProtection="1">
      <alignment horizontal="center" vertical="center"/>
    </xf>
    <xf numFmtId="0" fontId="4" fillId="0" borderId="1" xfId="0" applyFont="1" applyBorder="1" applyAlignment="1" applyProtection="1">
      <alignment horizontal="center" vertical="center"/>
    </xf>
    <xf numFmtId="0" fontId="4" fillId="3" borderId="5" xfId="0" applyFont="1" applyFill="1" applyBorder="1" applyAlignment="1" applyProtection="1">
      <alignment horizontal="center" vertical="center" wrapText="1"/>
      <protection locked="0"/>
    </xf>
    <xf numFmtId="0" fontId="4" fillId="3" borderId="6" xfId="0" applyFont="1" applyFill="1" applyBorder="1" applyAlignment="1" applyProtection="1">
      <alignment horizontal="center" vertical="center" wrapText="1"/>
      <protection locked="0"/>
    </xf>
    <xf numFmtId="0" fontId="4" fillId="3" borderId="7" xfId="0"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7" xfId="0" applyFont="1" applyBorder="1" applyAlignment="1" applyProtection="1">
      <alignment horizontal="center" vertical="center" wrapText="1"/>
      <protection locked="0"/>
    </xf>
    <xf numFmtId="0" fontId="3" fillId="0" borderId="1" xfId="0" applyFont="1" applyBorder="1" applyAlignment="1" applyProtection="1">
      <alignment horizontal="center" vertical="center" wrapText="1"/>
    </xf>
    <xf numFmtId="9" fontId="4" fillId="0" borderId="6" xfId="0" applyNumberFormat="1" applyFont="1" applyBorder="1" applyAlignment="1" applyProtection="1">
      <alignment horizontal="center" vertical="center"/>
      <protection locked="0"/>
    </xf>
    <xf numFmtId="9" fontId="4" fillId="0" borderId="7" xfId="0" applyNumberFormat="1" applyFont="1" applyBorder="1" applyAlignment="1" applyProtection="1">
      <alignment horizontal="center" vertical="center"/>
      <protection locked="0"/>
    </xf>
    <xf numFmtId="0" fontId="2" fillId="4" borderId="2" xfId="0" applyFont="1" applyFill="1" applyBorder="1" applyAlignment="1" applyProtection="1">
      <alignment horizontal="center" vertical="center" wrapText="1"/>
      <protection locked="0"/>
    </xf>
    <xf numFmtId="0" fontId="2" fillId="4" borderId="3" xfId="0" applyFont="1" applyFill="1" applyBorder="1" applyAlignment="1" applyProtection="1">
      <alignment horizontal="center" vertical="center" wrapText="1"/>
      <protection locked="0"/>
    </xf>
    <xf numFmtId="0" fontId="2" fillId="4" borderId="4" xfId="0" applyFont="1" applyFill="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4" fillId="0" borderId="6" xfId="0" applyFont="1" applyFill="1" applyBorder="1" applyAlignment="1" applyProtection="1">
      <alignment horizontal="center" vertical="center"/>
      <protection locked="0"/>
    </xf>
    <xf numFmtId="9" fontId="4" fillId="0" borderId="1" xfId="0" applyNumberFormat="1" applyFont="1" applyBorder="1" applyAlignment="1" applyProtection="1">
      <alignment horizontal="center" vertical="center"/>
      <protection locked="0"/>
    </xf>
    <xf numFmtId="0" fontId="4" fillId="3" borderId="1" xfId="0" applyFont="1" applyFill="1" applyBorder="1" applyAlignment="1" applyProtection="1">
      <alignment horizontal="center" wrapText="1"/>
      <protection locked="0"/>
    </xf>
    <xf numFmtId="2" fontId="4" fillId="0" borderId="1" xfId="0" applyNumberFormat="1" applyFont="1" applyFill="1" applyBorder="1" applyAlignment="1" applyProtection="1">
      <alignment horizontal="center" vertical="center"/>
    </xf>
    <xf numFmtId="0" fontId="4" fillId="3" borderId="1" xfId="0" applyFont="1" applyFill="1" applyBorder="1" applyAlignment="1" applyProtection="1">
      <alignment horizontal="center" vertical="center"/>
      <protection locked="0"/>
    </xf>
    <xf numFmtId="164" fontId="2" fillId="0" borderId="1" xfId="0" applyNumberFormat="1" applyFont="1" applyFill="1" applyBorder="1" applyAlignment="1" applyProtection="1">
      <alignment horizontal="center" vertical="center" wrapText="1"/>
    </xf>
    <xf numFmtId="164" fontId="2" fillId="0" borderId="1" xfId="0" applyNumberFormat="1" applyFont="1" applyFill="1" applyBorder="1" applyAlignment="1" applyProtection="1">
      <alignment horizontal="center" vertical="center" wrapText="1"/>
      <protection locked="0"/>
    </xf>
    <xf numFmtId="0" fontId="4" fillId="0" borderId="5" xfId="0" applyFont="1" applyBorder="1" applyAlignment="1" applyProtection="1">
      <alignment horizontal="center" vertical="center" wrapText="1"/>
    </xf>
    <xf numFmtId="2" fontId="4" fillId="3" borderId="5" xfId="0" applyNumberFormat="1" applyFont="1" applyFill="1" applyBorder="1" applyAlignment="1" applyProtection="1">
      <alignment horizontal="center" vertical="center"/>
    </xf>
    <xf numFmtId="2" fontId="4" fillId="3" borderId="6" xfId="0" applyNumberFormat="1" applyFont="1" applyFill="1" applyBorder="1" applyAlignment="1" applyProtection="1">
      <alignment horizontal="center" vertical="center"/>
    </xf>
    <xf numFmtId="2" fontId="4" fillId="3" borderId="7" xfId="0" applyNumberFormat="1" applyFont="1" applyFill="1" applyBorder="1" applyAlignment="1" applyProtection="1">
      <alignment horizontal="center" vertical="center"/>
    </xf>
    <xf numFmtId="0" fontId="4" fillId="0" borderId="8"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1" xfId="0" applyFont="1" applyFill="1" applyBorder="1" applyAlignment="1" applyProtection="1">
      <alignment horizontal="center" vertical="center"/>
      <protection locked="0"/>
    </xf>
    <xf numFmtId="0" fontId="4" fillId="0" borderId="5" xfId="0" applyFont="1" applyBorder="1" applyAlignment="1" applyProtection="1">
      <alignment horizontal="center" wrapText="1"/>
      <protection locked="0"/>
    </xf>
    <xf numFmtId="0" fontId="4" fillId="0" borderId="6" xfId="0" applyFont="1" applyBorder="1" applyAlignment="1" applyProtection="1">
      <alignment horizontal="center"/>
      <protection locked="0"/>
    </xf>
    <xf numFmtId="0" fontId="4" fillId="0" borderId="7" xfId="0" applyFont="1" applyBorder="1" applyAlignment="1" applyProtection="1">
      <alignment horizontal="center"/>
      <protection locked="0"/>
    </xf>
    <xf numFmtId="0" fontId="4" fillId="0" borderId="12" xfId="0" applyFont="1" applyFill="1" applyBorder="1" applyAlignment="1" applyProtection="1">
      <alignment horizontal="center" vertical="center"/>
      <protection locked="0"/>
    </xf>
    <xf numFmtId="0" fontId="4" fillId="0" borderId="13" xfId="0" applyFont="1" applyFill="1" applyBorder="1" applyAlignment="1" applyProtection="1">
      <alignment horizontal="center" vertical="center"/>
      <protection locked="0"/>
    </xf>
    <xf numFmtId="2" fontId="14" fillId="0" borderId="5" xfId="0" applyNumberFormat="1" applyFont="1" applyBorder="1" applyAlignment="1" applyProtection="1">
      <alignment horizontal="center" vertical="center"/>
    </xf>
    <xf numFmtId="2" fontId="14" fillId="0" borderId="6" xfId="0" applyNumberFormat="1" applyFont="1" applyBorder="1" applyAlignment="1" applyProtection="1">
      <alignment horizontal="center" vertical="center"/>
    </xf>
    <xf numFmtId="2" fontId="14" fillId="0" borderId="7" xfId="0" applyNumberFormat="1" applyFont="1" applyBorder="1" applyAlignment="1" applyProtection="1">
      <alignment horizontal="center" vertical="center"/>
    </xf>
    <xf numFmtId="0" fontId="12" fillId="0" borderId="10" xfId="0" applyFont="1" applyBorder="1" applyAlignment="1" applyProtection="1">
      <alignment horizontal="center" vertical="center" wrapText="1"/>
    </xf>
    <xf numFmtId="0" fontId="12" fillId="0" borderId="0" xfId="0" applyFont="1" applyBorder="1" applyAlignment="1" applyProtection="1">
      <alignment horizontal="center" vertical="center" wrapText="1"/>
    </xf>
    <xf numFmtId="0" fontId="8" fillId="0" borderId="0" xfId="0" applyFont="1" applyAlignment="1" applyProtection="1">
      <alignment horizontal="center" vertical="center" wrapText="1"/>
      <protection locked="0"/>
    </xf>
    <xf numFmtId="0" fontId="2" fillId="0" borderId="5"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9" fontId="4" fillId="0" borderId="5" xfId="1" applyFont="1" applyBorder="1" applyAlignment="1" applyProtection="1">
      <alignment horizontal="center" vertical="center"/>
      <protection locked="0"/>
    </xf>
    <xf numFmtId="9" fontId="4" fillId="0" borderId="6" xfId="1" applyFont="1" applyBorder="1" applyAlignment="1" applyProtection="1">
      <alignment horizontal="center" vertical="center"/>
      <protection locked="0"/>
    </xf>
    <xf numFmtId="9" fontId="4" fillId="0" borderId="7" xfId="1" applyFont="1" applyBorder="1" applyAlignment="1" applyProtection="1">
      <alignment horizontal="center" vertical="center"/>
      <protection locked="0"/>
    </xf>
    <xf numFmtId="2" fontId="4" fillId="0" borderId="5" xfId="0" applyNumberFormat="1" applyFont="1" applyBorder="1" applyAlignment="1" applyProtection="1">
      <alignment horizontal="center" vertical="center"/>
      <protection locked="0"/>
    </xf>
    <xf numFmtId="2" fontId="4" fillId="0" borderId="6" xfId="0" applyNumberFormat="1" applyFont="1" applyBorder="1" applyAlignment="1" applyProtection="1">
      <alignment horizontal="center" vertical="center"/>
      <protection locked="0"/>
    </xf>
    <xf numFmtId="2" fontId="4" fillId="0" borderId="7" xfId="0" applyNumberFormat="1" applyFont="1" applyBorder="1" applyAlignment="1" applyProtection="1">
      <alignment horizontal="center" vertical="center"/>
      <protection locked="0"/>
    </xf>
    <xf numFmtId="2" fontId="4" fillId="0" borderId="8" xfId="0" applyNumberFormat="1" applyFont="1" applyBorder="1" applyAlignment="1" applyProtection="1">
      <alignment horizontal="center" vertical="center"/>
    </xf>
    <xf numFmtId="2" fontId="4" fillId="0" borderId="10" xfId="0" applyNumberFormat="1" applyFont="1" applyBorder="1" applyAlignment="1" applyProtection="1">
      <alignment horizontal="center" vertical="center"/>
    </xf>
    <xf numFmtId="2" fontId="4" fillId="0" borderId="12" xfId="0" applyNumberFormat="1" applyFont="1" applyBorder="1" applyAlignment="1" applyProtection="1">
      <alignment horizontal="center" vertical="center"/>
    </xf>
    <xf numFmtId="2" fontId="4" fillId="0" borderId="9" xfId="0" applyNumberFormat="1" applyFont="1" applyBorder="1" applyAlignment="1" applyProtection="1">
      <alignment horizontal="center" vertical="center"/>
    </xf>
    <xf numFmtId="2" fontId="4" fillId="0" borderId="11" xfId="0" applyNumberFormat="1" applyFont="1" applyBorder="1" applyAlignment="1" applyProtection="1">
      <alignment horizontal="center" vertical="center"/>
    </xf>
    <xf numFmtId="2" fontId="4" fillId="0" borderId="13" xfId="0" applyNumberFormat="1" applyFont="1" applyBorder="1" applyAlignment="1" applyProtection="1">
      <alignment horizontal="center" vertical="center"/>
    </xf>
    <xf numFmtId="9" fontId="4" fillId="0" borderId="1" xfId="1" applyFont="1" applyBorder="1" applyAlignment="1" applyProtection="1">
      <alignment horizontal="center" vertical="center"/>
      <protection locked="0"/>
    </xf>
    <xf numFmtId="0" fontId="4" fillId="0" borderId="10" xfId="0" applyFont="1" applyFill="1" applyBorder="1" applyAlignment="1" applyProtection="1">
      <alignment horizontal="center" vertical="center" wrapText="1"/>
      <protection locked="0"/>
    </xf>
    <xf numFmtId="0" fontId="4" fillId="0" borderId="12" xfId="0" applyFont="1" applyFill="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0" fontId="3" fillId="0" borderId="12" xfId="0" applyFont="1" applyBorder="1" applyAlignment="1" applyProtection="1">
      <alignment horizontal="center" vertical="center" wrapText="1"/>
      <protection locked="0"/>
    </xf>
    <xf numFmtId="0" fontId="4" fillId="0" borderId="8" xfId="0" applyFont="1" applyFill="1" applyBorder="1" applyAlignment="1" applyProtection="1">
      <alignment horizontal="center" vertical="center"/>
      <protection locked="0"/>
    </xf>
    <xf numFmtId="2" fontId="11" fillId="0" borderId="5" xfId="0" applyNumberFormat="1" applyFont="1" applyBorder="1" applyAlignment="1" applyProtection="1">
      <alignment horizontal="center" vertical="center"/>
    </xf>
    <xf numFmtId="2" fontId="11" fillId="0" borderId="6" xfId="0" applyNumberFormat="1" applyFont="1" applyBorder="1" applyAlignment="1" applyProtection="1">
      <alignment horizontal="center" vertical="center"/>
    </xf>
    <xf numFmtId="2" fontId="11" fillId="0" borderId="7" xfId="0" applyNumberFormat="1" applyFont="1" applyBorder="1" applyAlignment="1" applyProtection="1">
      <alignment horizontal="center" vertical="center"/>
    </xf>
    <xf numFmtId="0" fontId="13" fillId="0" borderId="10" xfId="0" applyFont="1" applyBorder="1" applyAlignment="1" applyProtection="1">
      <alignment horizontal="center" vertical="center" wrapText="1"/>
    </xf>
    <xf numFmtId="0" fontId="8" fillId="0" borderId="0" xfId="0" applyFont="1" applyAlignment="1">
      <alignment horizontal="center" vertical="center" wrapText="1"/>
    </xf>
    <xf numFmtId="0" fontId="18" fillId="5" borderId="18" xfId="0" applyFont="1" applyFill="1" applyBorder="1" applyAlignment="1">
      <alignment horizontal="center" vertical="center" textRotation="90" wrapText="1"/>
    </xf>
    <xf numFmtId="2" fontId="6" fillId="0" borderId="15" xfId="0" applyNumberFormat="1" applyFont="1" applyBorder="1" applyAlignment="1">
      <alignment horizontal="center" vertical="center" wrapText="1"/>
    </xf>
    <xf numFmtId="0" fontId="6" fillId="0" borderId="20" xfId="0" applyFont="1" applyBorder="1" applyAlignment="1">
      <alignment horizontal="center" vertical="center" wrapText="1"/>
    </xf>
    <xf numFmtId="0" fontId="6" fillId="0" borderId="22" xfId="0" applyFont="1" applyBorder="1" applyAlignment="1">
      <alignment horizontal="center" vertical="center" wrapText="1"/>
    </xf>
    <xf numFmtId="0" fontId="18" fillId="5" borderId="0" xfId="0" applyFont="1" applyFill="1" applyBorder="1" applyAlignment="1">
      <alignment horizontal="center" vertical="center" wrapText="1"/>
    </xf>
    <xf numFmtId="2" fontId="21" fillId="0" borderId="14" xfId="0" applyNumberFormat="1" applyFont="1" applyBorder="1" applyAlignment="1">
      <alignment horizontal="center" vertical="center"/>
    </xf>
    <xf numFmtId="0" fontId="21" fillId="0" borderId="18" xfId="0" applyFont="1" applyBorder="1" applyAlignment="1">
      <alignment horizontal="center" vertical="center"/>
    </xf>
    <xf numFmtId="0" fontId="21" fillId="0" borderId="21" xfId="0" applyFont="1" applyBorder="1" applyAlignment="1">
      <alignment horizontal="center" vertical="center"/>
    </xf>
    <xf numFmtId="0" fontId="18" fillId="5" borderId="20" xfId="0" applyFont="1" applyFill="1" applyBorder="1" applyAlignment="1">
      <alignment horizontal="center" vertical="center" wrapText="1"/>
    </xf>
  </cellXfs>
  <cellStyles count="3">
    <cellStyle name="Millares" xfId="2" builtinId="3"/>
    <cellStyle name="Normal" xfId="0" builtinId="0"/>
    <cellStyle name="Porcentaje" xfId="1" builtinId="5"/>
  </cellStyles>
  <dxfs count="3">
    <dxf>
      <fill>
        <patternFill>
          <bgColor theme="5" tint="0.39994506668294322"/>
        </patternFill>
      </fill>
    </dxf>
    <dxf>
      <fill>
        <patternFill>
          <bgColor theme="5" tint="0.39994506668294322"/>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C"/>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Arial" panose="020B0604020202020204" pitchFamily="34" charset="0"/>
                <a:cs typeface="Arial" panose="020B0604020202020204" pitchFamily="34" charset="0"/>
              </a:defRPr>
            </a:pPr>
            <a:r>
              <a:rPr lang="es-EC">
                <a:latin typeface="Arial" panose="020B0604020202020204" pitchFamily="34" charset="0"/>
                <a:cs typeface="Arial" panose="020B0604020202020204" pitchFamily="34" charset="0"/>
              </a:rPr>
              <a:t>Calidad Total</a:t>
            </a:r>
            <a:r>
              <a:rPr lang="es-EC" baseline="0">
                <a:latin typeface="Arial" panose="020B0604020202020204" pitchFamily="34" charset="0"/>
                <a:cs typeface="Arial" panose="020B0604020202020204" pitchFamily="34" charset="0"/>
              </a:rPr>
              <a:t> obtenida de la evaluación de calidad al sistema  LogiNotificador</a:t>
            </a:r>
            <a:endParaRPr lang="es-EC">
              <a:latin typeface="Arial" panose="020B0604020202020204" pitchFamily="34" charset="0"/>
              <a:cs typeface="Arial" panose="020B0604020202020204" pitchFamily="34" charset="0"/>
            </a:endParaRPr>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dLbls>
            <c:dLbl>
              <c:idx val="0"/>
              <c:numFmt formatCode="0%" sourceLinked="0"/>
              <c:spPr/>
              <c:txPr>
                <a:bodyPr/>
                <a:lstStyle/>
                <a:p>
                  <a:pPr>
                    <a:defRPr sz="1200" b="1">
                      <a:solidFill>
                        <a:schemeClr val="bg1"/>
                      </a:solidFill>
                      <a:latin typeface="Arial" panose="020B0604020202020204" pitchFamily="34" charset="0"/>
                      <a:cs typeface="Arial" panose="020B0604020202020204" pitchFamily="34" charset="0"/>
                    </a:defRPr>
                  </a:pPr>
                  <a:endParaRPr lang="es-EC"/>
                </a:p>
              </c:txPr>
              <c:showLegendKey val="0"/>
              <c:showVal val="0"/>
              <c:showCatName val="0"/>
              <c:showSerName val="0"/>
              <c:showPercent val="1"/>
              <c:showBubbleSize val="0"/>
            </c:dLbl>
            <c:dLbl>
              <c:idx val="1"/>
              <c:tx>
                <c:rich>
                  <a:bodyPr/>
                  <a:lstStyle/>
                  <a:p>
                    <a:r>
                      <a:rPr lang="en-US" sz="1200" b="1">
                        <a:solidFill>
                          <a:schemeClr val="bg1"/>
                        </a:solidFill>
                        <a:latin typeface="Arial" panose="020B0604020202020204" pitchFamily="34" charset="0"/>
                        <a:cs typeface="Arial" panose="020B0604020202020204" pitchFamily="34" charset="0"/>
                      </a:rPr>
                      <a:t>17%</a:t>
                    </a:r>
                    <a:endParaRPr lang="en-US"/>
                  </a:p>
                </c:rich>
              </c:tx>
              <c:showLegendKey val="0"/>
              <c:showVal val="0"/>
              <c:showCatName val="0"/>
              <c:showSerName val="0"/>
              <c:showPercent val="1"/>
              <c:showBubbleSize val="0"/>
              <c:extLst>
                <c:ext xmlns:c15="http://schemas.microsoft.com/office/drawing/2012/chart" uri="{CE6537A1-D6FC-4f65-9D91-7224C49458BB}">
                  <c15:layout/>
                </c:ext>
              </c:extLst>
            </c:dLbl>
            <c:numFmt formatCode="0.00%" sourceLinked="0"/>
            <c:spPr>
              <a:noFill/>
              <a:ln>
                <a:noFill/>
              </a:ln>
              <a:effectLst/>
            </c:spPr>
            <c:txPr>
              <a:bodyPr/>
              <a:lstStyle/>
              <a:p>
                <a:pPr>
                  <a:defRPr sz="1200" b="1">
                    <a:solidFill>
                      <a:schemeClr val="bg1"/>
                    </a:solidFill>
                    <a:latin typeface="Arial" panose="020B0604020202020204" pitchFamily="34" charset="0"/>
                    <a:cs typeface="Arial" panose="020B0604020202020204" pitchFamily="34" charset="0"/>
                  </a:defRPr>
                </a:pPr>
                <a:endParaRPr lang="es-EC"/>
              </a:p>
            </c:txPr>
            <c:showLegendKey val="0"/>
            <c:showVal val="0"/>
            <c:showCatName val="0"/>
            <c:showSerName val="0"/>
            <c:showPercent val="1"/>
            <c:showBubbleSize val="0"/>
            <c:showLeaderLines val="1"/>
            <c:extLst>
              <c:ext xmlns:c15="http://schemas.microsoft.com/office/drawing/2012/chart" uri="{CE6537A1-D6FC-4f65-9D91-7224C49458BB}"/>
            </c:extLst>
          </c:dLbls>
          <c:cat>
            <c:strRef>
              <c:f>Hoja1!$E$4:$F$4</c:f>
              <c:strCache>
                <c:ptCount val="2"/>
                <c:pt idx="0">
                  <c:v>Calidad Obtenida</c:v>
                </c:pt>
                <c:pt idx="1">
                  <c:v>Calidad Faltante</c:v>
                </c:pt>
              </c:strCache>
            </c:strRef>
          </c:cat>
          <c:val>
            <c:numRef>
              <c:f>Hoja1!$E$5:$F$5</c:f>
              <c:numCache>
                <c:formatCode>0%</c:formatCode>
                <c:ptCount val="2"/>
                <c:pt idx="0">
                  <c:v>0.83545847463995404</c:v>
                </c:pt>
                <c:pt idx="1">
                  <c:v>0.17</c:v>
                </c:pt>
              </c:numCache>
            </c:numRef>
          </c:val>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C"/>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s-EC"/>
              <a:t>Calidad Interna, Externa y en Uso del sistema LogiNotificador</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v>Porcentaje de Calidad obtenido</c:v>
          </c:tx>
          <c:invertIfNegative val="0"/>
          <c:dPt>
            <c:idx val="3"/>
            <c:invertIfNegative val="0"/>
            <c:bubble3D val="0"/>
            <c:spPr>
              <a:solidFill>
                <a:srgbClr val="C00000"/>
              </a:solidFill>
            </c:spPr>
          </c:dPt>
          <c:cat>
            <c:strRef>
              <c:f>Hoja1!$B$26:$B$29</c:f>
              <c:strCache>
                <c:ptCount val="4"/>
                <c:pt idx="0">
                  <c:v>Calidad Interna</c:v>
                </c:pt>
                <c:pt idx="1">
                  <c:v>Calidad Externa</c:v>
                </c:pt>
                <c:pt idx="2">
                  <c:v>Calidad en Uso</c:v>
                </c:pt>
                <c:pt idx="3">
                  <c:v>Calidad Total</c:v>
                </c:pt>
              </c:strCache>
            </c:strRef>
          </c:cat>
          <c:val>
            <c:numRef>
              <c:f>Hoja1!$D$26:$D$29</c:f>
              <c:numCache>
                <c:formatCode>0%</c:formatCode>
                <c:ptCount val="4"/>
                <c:pt idx="0">
                  <c:v>0.73649187691131501</c:v>
                </c:pt>
                <c:pt idx="1">
                  <c:v>0.86287500000000006</c:v>
                </c:pt>
                <c:pt idx="2">
                  <c:v>0.90700854700854694</c:v>
                </c:pt>
                <c:pt idx="3">
                  <c:v>0.83545847463995404</c:v>
                </c:pt>
              </c:numCache>
            </c:numRef>
          </c:val>
        </c:ser>
        <c:dLbls>
          <c:showLegendKey val="0"/>
          <c:showVal val="0"/>
          <c:showCatName val="0"/>
          <c:showSerName val="0"/>
          <c:showPercent val="0"/>
          <c:showBubbleSize val="0"/>
        </c:dLbls>
        <c:gapWidth val="95"/>
        <c:gapDepth val="95"/>
        <c:shape val="box"/>
        <c:axId val="96919552"/>
        <c:axId val="101587712"/>
        <c:axId val="0"/>
      </c:bar3DChart>
      <c:catAx>
        <c:axId val="96919552"/>
        <c:scaling>
          <c:orientation val="minMax"/>
        </c:scaling>
        <c:delete val="0"/>
        <c:axPos val="b"/>
        <c:numFmt formatCode="General" sourceLinked="0"/>
        <c:majorTickMark val="none"/>
        <c:minorTickMark val="none"/>
        <c:tickLblPos val="nextTo"/>
        <c:txPr>
          <a:bodyPr rot="0" vert="horz"/>
          <a:lstStyle/>
          <a:p>
            <a:pPr>
              <a:defRPr/>
            </a:pPr>
            <a:endParaRPr lang="es-EC"/>
          </a:p>
        </c:txPr>
        <c:crossAx val="101587712"/>
        <c:crosses val="autoZero"/>
        <c:auto val="0"/>
        <c:lblAlgn val="ctr"/>
        <c:lblOffset val="100"/>
        <c:noMultiLvlLbl val="0"/>
      </c:catAx>
      <c:valAx>
        <c:axId val="101587712"/>
        <c:scaling>
          <c:orientation val="minMax"/>
        </c:scaling>
        <c:delete val="0"/>
        <c:axPos val="l"/>
        <c:majorGridlines/>
        <c:title>
          <c:tx>
            <c:rich>
              <a:bodyPr/>
              <a:lstStyle/>
              <a:p>
                <a:pPr>
                  <a:defRPr/>
                </a:pPr>
                <a:r>
                  <a:rPr lang="es-EC"/>
                  <a:t>Valor obtenido</a:t>
                </a:r>
              </a:p>
            </c:rich>
          </c:tx>
          <c:layout>
            <c:manualLayout>
              <c:xMode val="edge"/>
              <c:yMode val="edge"/>
              <c:x val="0.21110459772970019"/>
              <c:y val="0.42540960503345943"/>
            </c:manualLayout>
          </c:layout>
          <c:overlay val="0"/>
        </c:title>
        <c:numFmt formatCode="0%" sourceLinked="1"/>
        <c:majorTickMark val="none"/>
        <c:minorTickMark val="none"/>
        <c:tickLblPos val="nextTo"/>
        <c:crossAx val="9691955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C"/>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sz="1400">
                <a:latin typeface="Arial" panose="020B0604020202020204" pitchFamily="34" charset="0"/>
                <a:cs typeface="Arial" panose="020B0604020202020204" pitchFamily="34" charset="0"/>
              </a:rPr>
              <a:t>Calidad interna</a:t>
            </a:r>
            <a:r>
              <a:rPr lang="en-US" sz="1400" baseline="0">
                <a:latin typeface="Arial" panose="020B0604020202020204" pitchFamily="34" charset="0"/>
                <a:cs typeface="Arial" panose="020B0604020202020204" pitchFamily="34" charset="0"/>
              </a:rPr>
              <a:t> total obtenida del sistema LogiNotificador</a:t>
            </a:r>
            <a:endParaRPr lang="en-US" sz="1400">
              <a:latin typeface="Arial" panose="020B0604020202020204" pitchFamily="34" charset="0"/>
              <a:cs typeface="Arial" panose="020B0604020202020204" pitchFamily="34" charset="0"/>
            </a:endParaRPr>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8837739427836508"/>
          <c:y val="0.18421261387928831"/>
          <c:w val="0.80647184429768271"/>
          <c:h val="0.52512321376494608"/>
        </c:manualLayout>
      </c:layout>
      <c:bar3DChart>
        <c:barDir val="col"/>
        <c:grouping val="stacked"/>
        <c:varyColors val="0"/>
        <c:ser>
          <c:idx val="0"/>
          <c:order val="0"/>
          <c:tx>
            <c:v>Valor obtenido</c:v>
          </c:tx>
          <c:invertIfNegative val="0"/>
          <c:dPt>
            <c:idx val="0"/>
            <c:invertIfNegative val="0"/>
            <c:bubble3D val="0"/>
            <c:spPr>
              <a:solidFill>
                <a:srgbClr val="C00000"/>
              </a:solidFill>
            </c:spPr>
          </c:dPt>
          <c:cat>
            <c:strRef>
              <c:f>Hoja2!$K$5:$K$12</c:f>
              <c:strCache>
                <c:ptCount val="8"/>
                <c:pt idx="0">
                  <c:v>Adecuación funcional</c:v>
                </c:pt>
                <c:pt idx="1">
                  <c:v>Fiabilidad</c:v>
                </c:pt>
                <c:pt idx="2">
                  <c:v>Eficiencia en el desempeño</c:v>
                </c:pt>
                <c:pt idx="3">
                  <c:v>Facilidad de uso</c:v>
                </c:pt>
                <c:pt idx="4">
                  <c:v>Seguridad</c:v>
                </c:pt>
                <c:pt idx="5">
                  <c:v>Compatibilidad</c:v>
                </c:pt>
                <c:pt idx="6">
                  <c:v>Mantenibilidad</c:v>
                </c:pt>
                <c:pt idx="7">
                  <c:v>Portabilidad</c:v>
                </c:pt>
              </c:strCache>
            </c:strRef>
          </c:cat>
          <c:val>
            <c:numRef>
              <c:f>Hoja2!$L$5:$L$12</c:f>
              <c:numCache>
                <c:formatCode>0%</c:formatCode>
                <c:ptCount val="8"/>
                <c:pt idx="0">
                  <c:v>0.2</c:v>
                </c:pt>
                <c:pt idx="1">
                  <c:v>0.1</c:v>
                </c:pt>
                <c:pt idx="2">
                  <c:v>8.3999999999999991E-2</c:v>
                </c:pt>
                <c:pt idx="3">
                  <c:v>0.11294999999999999</c:v>
                </c:pt>
                <c:pt idx="4">
                  <c:v>1.67E-2</c:v>
                </c:pt>
                <c:pt idx="5">
                  <c:v>0.05</c:v>
                </c:pt>
                <c:pt idx="6">
                  <c:v>0.17299999999999999</c:v>
                </c:pt>
                <c:pt idx="7">
                  <c:v>0</c:v>
                </c:pt>
              </c:numCache>
            </c:numRef>
          </c:val>
        </c:ser>
        <c:dLbls>
          <c:showLegendKey val="0"/>
          <c:showVal val="0"/>
          <c:showCatName val="0"/>
          <c:showSerName val="0"/>
          <c:showPercent val="0"/>
          <c:showBubbleSize val="0"/>
        </c:dLbls>
        <c:gapWidth val="95"/>
        <c:gapDepth val="95"/>
        <c:shape val="box"/>
        <c:axId val="96921088"/>
        <c:axId val="96813632"/>
        <c:axId val="0"/>
      </c:bar3DChart>
      <c:catAx>
        <c:axId val="96921088"/>
        <c:scaling>
          <c:orientation val="minMax"/>
        </c:scaling>
        <c:delete val="0"/>
        <c:axPos val="b"/>
        <c:numFmt formatCode="General" sourceLinked="0"/>
        <c:majorTickMark val="none"/>
        <c:minorTickMark val="none"/>
        <c:tickLblPos val="nextTo"/>
        <c:spPr>
          <a:ln w="9525"/>
        </c:spPr>
        <c:crossAx val="96813632"/>
        <c:crosses val="autoZero"/>
        <c:auto val="1"/>
        <c:lblAlgn val="ctr"/>
        <c:lblOffset val="100"/>
        <c:noMultiLvlLbl val="0"/>
      </c:catAx>
      <c:valAx>
        <c:axId val="96813632"/>
        <c:scaling>
          <c:orientation val="minMax"/>
          <c:max val="0.25"/>
          <c:min val="0"/>
        </c:scaling>
        <c:delete val="0"/>
        <c:axPos val="l"/>
        <c:majorGridlines/>
        <c:title>
          <c:tx>
            <c:rich>
              <a:bodyPr/>
              <a:lstStyle/>
              <a:p>
                <a:pPr>
                  <a:defRPr/>
                </a:pPr>
                <a:r>
                  <a:rPr lang="es-EC"/>
                  <a:t>Valor obtenido</a:t>
                </a:r>
              </a:p>
            </c:rich>
          </c:tx>
          <c:layout>
            <c:manualLayout>
              <c:xMode val="edge"/>
              <c:yMode val="edge"/>
              <c:x val="9.8439508812642698E-2"/>
              <c:y val="0.2981299212598425"/>
            </c:manualLayout>
          </c:layout>
          <c:overlay val="0"/>
        </c:title>
        <c:numFmt formatCode="0%" sourceLinked="1"/>
        <c:majorTickMark val="none"/>
        <c:minorTickMark val="none"/>
        <c:tickLblPos val="nextTo"/>
        <c:txPr>
          <a:bodyPr/>
          <a:lstStyle/>
          <a:p>
            <a:pPr>
              <a:defRPr sz="900"/>
            </a:pPr>
            <a:endParaRPr lang="es-EC"/>
          </a:p>
        </c:txPr>
        <c:crossAx val="96921088"/>
        <c:crosses val="autoZero"/>
        <c:crossBetween val="between"/>
      </c:valAx>
      <c:dTable>
        <c:showHorzBorder val="1"/>
        <c:showVertBorder val="1"/>
        <c:showOutline val="1"/>
        <c:showKeys val="1"/>
        <c:txPr>
          <a:bodyPr/>
          <a:lstStyle/>
          <a:p>
            <a:pPr rtl="0">
              <a:defRPr sz="900"/>
            </a:pPr>
            <a:endParaRPr lang="es-EC"/>
          </a:p>
        </c:txPr>
      </c:dTable>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C"/>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Calidad externa total obtenida del sistema LogiNotificador</a:t>
            </a:r>
            <a:endParaRPr lang="es-EC">
              <a:effectLst/>
            </a:endParaRPr>
          </a:p>
        </c:rich>
      </c:tx>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v>Valor obtenido</c:v>
          </c:tx>
          <c:invertIfNegative val="0"/>
          <c:cat>
            <c:strRef>
              <c:f>Hoja2!$K$14:$K$21</c:f>
              <c:strCache>
                <c:ptCount val="8"/>
                <c:pt idx="0">
                  <c:v>Adecuación funcional</c:v>
                </c:pt>
                <c:pt idx="1">
                  <c:v>Fiabilidad</c:v>
                </c:pt>
                <c:pt idx="2">
                  <c:v>Eficiencia en el desempeño</c:v>
                </c:pt>
                <c:pt idx="3">
                  <c:v>Facilidad de uso</c:v>
                </c:pt>
                <c:pt idx="4">
                  <c:v>Seguridad</c:v>
                </c:pt>
                <c:pt idx="5">
                  <c:v>Compatibilidad</c:v>
                </c:pt>
                <c:pt idx="6">
                  <c:v>Mantenibilidad</c:v>
                </c:pt>
                <c:pt idx="7">
                  <c:v>Portabilidad</c:v>
                </c:pt>
              </c:strCache>
            </c:strRef>
          </c:cat>
          <c:val>
            <c:numRef>
              <c:f>Hoja2!$L$14:$L$21</c:f>
              <c:numCache>
                <c:formatCode>0%</c:formatCode>
                <c:ptCount val="8"/>
                <c:pt idx="0">
                  <c:v>0.2</c:v>
                </c:pt>
                <c:pt idx="1">
                  <c:v>0.10500000000000001</c:v>
                </c:pt>
                <c:pt idx="2">
                  <c:v>9.0999999999999998E-2</c:v>
                </c:pt>
                <c:pt idx="3">
                  <c:v>9.69E-2</c:v>
                </c:pt>
                <c:pt idx="4">
                  <c:v>0.05</c:v>
                </c:pt>
                <c:pt idx="5">
                  <c:v>0.2</c:v>
                </c:pt>
                <c:pt idx="6">
                  <c:v>0.12</c:v>
                </c:pt>
                <c:pt idx="7">
                  <c:v>0</c:v>
                </c:pt>
              </c:numCache>
            </c:numRef>
          </c:val>
        </c:ser>
        <c:dLbls>
          <c:showLegendKey val="0"/>
          <c:showVal val="0"/>
          <c:showCatName val="0"/>
          <c:showSerName val="0"/>
          <c:showPercent val="0"/>
          <c:showBubbleSize val="0"/>
        </c:dLbls>
        <c:gapWidth val="95"/>
        <c:gapDepth val="95"/>
        <c:shape val="box"/>
        <c:axId val="96923136"/>
        <c:axId val="96815360"/>
        <c:axId val="0"/>
      </c:bar3DChart>
      <c:catAx>
        <c:axId val="96923136"/>
        <c:scaling>
          <c:orientation val="minMax"/>
        </c:scaling>
        <c:delete val="0"/>
        <c:axPos val="b"/>
        <c:numFmt formatCode="General" sourceLinked="0"/>
        <c:majorTickMark val="none"/>
        <c:minorTickMark val="none"/>
        <c:tickLblPos val="nextTo"/>
        <c:crossAx val="96815360"/>
        <c:crosses val="autoZero"/>
        <c:auto val="1"/>
        <c:lblAlgn val="ctr"/>
        <c:lblOffset val="100"/>
        <c:noMultiLvlLbl val="0"/>
      </c:catAx>
      <c:valAx>
        <c:axId val="96815360"/>
        <c:scaling>
          <c:orientation val="minMax"/>
        </c:scaling>
        <c:delete val="0"/>
        <c:axPos val="l"/>
        <c:majorGridlines/>
        <c:title>
          <c:tx>
            <c:rich>
              <a:bodyPr/>
              <a:lstStyle/>
              <a:p>
                <a:pPr>
                  <a:defRPr/>
                </a:pPr>
                <a:r>
                  <a:rPr lang="es-EC"/>
                  <a:t>Valor obtenido</a:t>
                </a:r>
              </a:p>
            </c:rich>
          </c:tx>
          <c:overlay val="0"/>
        </c:title>
        <c:numFmt formatCode="0%" sourceLinked="1"/>
        <c:majorTickMark val="none"/>
        <c:minorTickMark val="none"/>
        <c:tickLblPos val="nextTo"/>
        <c:crossAx val="9692313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C"/>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Calidad en uso total obtenida del sistema LogiNotificador</a:t>
            </a:r>
            <a:endParaRPr lang="es-EC">
              <a:effectLst/>
            </a:endParaRPr>
          </a:p>
        </c:rich>
      </c:tx>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v>Valor obtenido</c:v>
          </c:tx>
          <c:invertIfNegative val="0"/>
          <c:cat>
            <c:strRef>
              <c:f>Hoja2!$K$23:$K$27</c:f>
              <c:strCache>
                <c:ptCount val="5"/>
                <c:pt idx="0">
                  <c:v>Efectividad</c:v>
                </c:pt>
                <c:pt idx="1">
                  <c:v>Eficiencia</c:v>
                </c:pt>
                <c:pt idx="2">
                  <c:v>Satisfacción</c:v>
                </c:pt>
                <c:pt idx="3">
                  <c:v>Libertad de Riesgo</c:v>
                </c:pt>
                <c:pt idx="4">
                  <c:v>Cobertura de Contexto</c:v>
                </c:pt>
              </c:strCache>
            </c:strRef>
          </c:cat>
          <c:val>
            <c:numRef>
              <c:f>Hoja2!$L$23:$L$27</c:f>
              <c:numCache>
                <c:formatCode>0%</c:formatCode>
                <c:ptCount val="5"/>
                <c:pt idx="0">
                  <c:v>0.3</c:v>
                </c:pt>
                <c:pt idx="1">
                  <c:v>0.14699999999999999</c:v>
                </c:pt>
                <c:pt idx="2">
                  <c:v>0.36</c:v>
                </c:pt>
                <c:pt idx="3">
                  <c:v>0.1</c:v>
                </c:pt>
                <c:pt idx="4">
                  <c:v>0</c:v>
                </c:pt>
              </c:numCache>
            </c:numRef>
          </c:val>
        </c:ser>
        <c:dLbls>
          <c:showLegendKey val="0"/>
          <c:showVal val="0"/>
          <c:showCatName val="0"/>
          <c:showSerName val="0"/>
          <c:showPercent val="0"/>
          <c:showBubbleSize val="0"/>
        </c:dLbls>
        <c:gapWidth val="95"/>
        <c:gapDepth val="95"/>
        <c:shape val="box"/>
        <c:axId val="102457856"/>
        <c:axId val="96817088"/>
        <c:axId val="0"/>
      </c:bar3DChart>
      <c:catAx>
        <c:axId val="102457856"/>
        <c:scaling>
          <c:orientation val="minMax"/>
        </c:scaling>
        <c:delete val="0"/>
        <c:axPos val="b"/>
        <c:numFmt formatCode="General" sourceLinked="0"/>
        <c:majorTickMark val="none"/>
        <c:minorTickMark val="none"/>
        <c:tickLblPos val="nextTo"/>
        <c:crossAx val="96817088"/>
        <c:crosses val="autoZero"/>
        <c:auto val="1"/>
        <c:lblAlgn val="ctr"/>
        <c:lblOffset val="100"/>
        <c:noMultiLvlLbl val="0"/>
      </c:catAx>
      <c:valAx>
        <c:axId val="96817088"/>
        <c:scaling>
          <c:orientation val="minMax"/>
        </c:scaling>
        <c:delete val="0"/>
        <c:axPos val="l"/>
        <c:majorGridlines/>
        <c:title>
          <c:tx>
            <c:rich>
              <a:bodyPr/>
              <a:lstStyle/>
              <a:p>
                <a:pPr>
                  <a:defRPr/>
                </a:pPr>
                <a:r>
                  <a:rPr lang="es-EC"/>
                  <a:t>valor obtenido</a:t>
                </a:r>
              </a:p>
            </c:rich>
          </c:tx>
          <c:layout>
            <c:manualLayout>
              <c:xMode val="edge"/>
              <c:yMode val="edge"/>
              <c:x val="0.1195975124348076"/>
              <c:y val="0.38593847592651354"/>
            </c:manualLayout>
          </c:layout>
          <c:overlay val="0"/>
        </c:title>
        <c:numFmt formatCode="0%" sourceLinked="1"/>
        <c:majorTickMark val="none"/>
        <c:minorTickMark val="none"/>
        <c:tickLblPos val="nextTo"/>
        <c:crossAx val="10245785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638175</xdr:colOff>
      <xdr:row>4</xdr:row>
      <xdr:rowOff>61912</xdr:rowOff>
    </xdr:from>
    <xdr:to>
      <xdr:col>12</xdr:col>
      <xdr:colOff>638175</xdr:colOff>
      <xdr:row>18</xdr:row>
      <xdr:rowOff>138112</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24</xdr:row>
      <xdr:rowOff>33337</xdr:rowOff>
    </xdr:from>
    <xdr:to>
      <xdr:col>12</xdr:col>
      <xdr:colOff>28575</xdr:colOff>
      <xdr:row>42</xdr:row>
      <xdr:rowOff>123825</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16566</xdr:colOff>
      <xdr:row>3</xdr:row>
      <xdr:rowOff>520977</xdr:rowOff>
    </xdr:from>
    <xdr:to>
      <xdr:col>22</xdr:col>
      <xdr:colOff>91110</xdr:colOff>
      <xdr:row>15</xdr:row>
      <xdr:rowOff>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91108</xdr:colOff>
      <xdr:row>15</xdr:row>
      <xdr:rowOff>197954</xdr:rowOff>
    </xdr:from>
    <xdr:to>
      <xdr:col>22</xdr:col>
      <xdr:colOff>107674</xdr:colOff>
      <xdr:row>26</xdr:row>
      <xdr:rowOff>223630</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74545</xdr:colOff>
      <xdr:row>27</xdr:row>
      <xdr:rowOff>32302</xdr:rowOff>
    </xdr:from>
    <xdr:to>
      <xdr:col>21</xdr:col>
      <xdr:colOff>372719</xdr:colOff>
      <xdr:row>41</xdr:row>
      <xdr:rowOff>66261</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2:R164"/>
  <sheetViews>
    <sheetView showGridLines="0" tabSelected="1" topLeftCell="B154" zoomScaleNormal="100" workbookViewId="0">
      <selection activeCell="P7" sqref="P7:P162"/>
    </sheetView>
  </sheetViews>
  <sheetFormatPr baseColWidth="10" defaultColWidth="11.42578125" defaultRowHeight="14.25" x14ac:dyDescent="0.2"/>
  <cols>
    <col min="1" max="1" width="6.85546875" style="10" customWidth="1"/>
    <col min="2" max="2" width="28.85546875" style="10" customWidth="1"/>
    <col min="3" max="3" width="36" style="10" customWidth="1"/>
    <col min="4" max="4" width="38.7109375" style="10" customWidth="1"/>
    <col min="5" max="5" width="39.7109375" style="10" customWidth="1"/>
    <col min="6" max="6" width="12.85546875" style="10" customWidth="1"/>
    <col min="7" max="7" width="11.5703125" style="10" customWidth="1"/>
    <col min="8" max="8" width="13.28515625" style="10" customWidth="1"/>
    <col min="9" max="9" width="10.28515625" style="10" customWidth="1"/>
    <col min="10" max="10" width="11.85546875" style="10" customWidth="1"/>
    <col min="11" max="11" width="21.85546875" style="10" customWidth="1"/>
    <col min="12" max="12" width="17.42578125" style="10" customWidth="1"/>
    <col min="13" max="13" width="20.7109375" style="35" customWidth="1"/>
    <col min="14" max="14" width="20.28515625" style="10" customWidth="1"/>
    <col min="15" max="15" width="14.28515625" style="10" customWidth="1"/>
    <col min="16" max="16" width="23.28515625" style="10" customWidth="1"/>
    <col min="17" max="17" width="46.85546875" style="10" customWidth="1"/>
    <col min="18" max="16384" width="11.42578125" style="10"/>
  </cols>
  <sheetData>
    <row r="2" spans="2:16" s="9" customFormat="1" ht="15" customHeight="1" x14ac:dyDescent="0.2">
      <c r="B2" s="153" t="s">
        <v>219</v>
      </c>
      <c r="C2" s="153"/>
      <c r="D2" s="153"/>
      <c r="E2" s="153"/>
      <c r="F2" s="153"/>
      <c r="G2" s="153"/>
      <c r="H2" s="153"/>
      <c r="I2" s="153"/>
      <c r="J2" s="153"/>
      <c r="K2" s="153"/>
      <c r="L2" s="153"/>
      <c r="M2" s="153"/>
      <c r="N2" s="153"/>
      <c r="O2" s="153"/>
      <c r="P2" s="153"/>
    </row>
    <row r="3" spans="2:16" s="9" customFormat="1" ht="14.25" customHeight="1" x14ac:dyDescent="0.2">
      <c r="B3" s="153"/>
      <c r="C3" s="153"/>
      <c r="D3" s="153"/>
      <c r="E3" s="153"/>
      <c r="F3" s="153"/>
      <c r="G3" s="153"/>
      <c r="H3" s="153"/>
      <c r="I3" s="153"/>
      <c r="J3" s="153"/>
      <c r="K3" s="153"/>
      <c r="L3" s="153"/>
      <c r="M3" s="153"/>
      <c r="N3" s="153"/>
      <c r="O3" s="153"/>
      <c r="P3" s="153"/>
    </row>
    <row r="4" spans="2:16" ht="15" x14ac:dyDescent="0.2">
      <c r="L4" s="11"/>
      <c r="M4" s="34"/>
    </row>
    <row r="5" spans="2:16" ht="15" thickBot="1" x14ac:dyDescent="0.25"/>
    <row r="6" spans="2:16" ht="45.75" customHeight="1" thickBot="1" x14ac:dyDescent="0.25">
      <c r="B6" s="37" t="s">
        <v>0</v>
      </c>
      <c r="C6" s="37" t="s">
        <v>1</v>
      </c>
      <c r="D6" s="37" t="s">
        <v>2</v>
      </c>
      <c r="E6" s="37" t="s">
        <v>23</v>
      </c>
      <c r="F6" s="133" t="s">
        <v>38</v>
      </c>
      <c r="G6" s="133"/>
      <c r="H6" s="38" t="s">
        <v>260</v>
      </c>
      <c r="I6" s="134" t="s">
        <v>34</v>
      </c>
      <c r="J6" s="134"/>
      <c r="K6" s="12" t="s">
        <v>37</v>
      </c>
      <c r="L6" s="12" t="s">
        <v>36</v>
      </c>
      <c r="M6" s="36" t="s">
        <v>222</v>
      </c>
      <c r="N6" s="12" t="s">
        <v>35</v>
      </c>
      <c r="O6" s="12" t="s">
        <v>242</v>
      </c>
      <c r="P6" s="12" t="s">
        <v>39</v>
      </c>
    </row>
    <row r="7" spans="2:16" ht="39.75" customHeight="1" thickBot="1" x14ac:dyDescent="0.25">
      <c r="B7" s="121" t="s">
        <v>3</v>
      </c>
      <c r="C7" s="110" t="s">
        <v>10</v>
      </c>
      <c r="D7" s="110" t="s">
        <v>278</v>
      </c>
      <c r="E7" s="135" t="s">
        <v>46</v>
      </c>
      <c r="F7" s="112">
        <v>0</v>
      </c>
      <c r="G7" s="112"/>
      <c r="H7" s="71" t="s">
        <v>261</v>
      </c>
      <c r="I7" s="13" t="s">
        <v>48</v>
      </c>
      <c r="J7" s="14">
        <v>0</v>
      </c>
      <c r="K7" s="111">
        <f>IF((J9="NA"),"NA",((1-J9)*10))</f>
        <v>10</v>
      </c>
      <c r="L7" s="111">
        <f>IF(AND(H7="No",H10="No",H13="No"),0,AVERAGE(K7:K15))</f>
        <v>10</v>
      </c>
      <c r="M7" s="76" t="s">
        <v>223</v>
      </c>
      <c r="N7" s="129">
        <v>0.2</v>
      </c>
      <c r="O7" s="111">
        <f>L7*N7</f>
        <v>2</v>
      </c>
      <c r="P7" s="148">
        <f>SUM(O7,O17,O33,O58,O95,O113,O123,O151)</f>
        <v>7.3649187691131504</v>
      </c>
    </row>
    <row r="8" spans="2:16" ht="31.5" customHeight="1" thickBot="1" x14ac:dyDescent="0.25">
      <c r="B8" s="121"/>
      <c r="C8" s="110" t="s">
        <v>11</v>
      </c>
      <c r="D8" s="110" t="s">
        <v>24</v>
      </c>
      <c r="E8" s="72"/>
      <c r="F8" s="112"/>
      <c r="G8" s="112"/>
      <c r="H8" s="72"/>
      <c r="I8" s="15" t="s">
        <v>47</v>
      </c>
      <c r="J8" s="8">
        <v>25</v>
      </c>
      <c r="K8" s="111"/>
      <c r="L8" s="111"/>
      <c r="M8" s="77"/>
      <c r="N8" s="129"/>
      <c r="O8" s="111"/>
      <c r="P8" s="149"/>
    </row>
    <row r="9" spans="2:16" ht="41.25" customHeight="1" thickBot="1" x14ac:dyDescent="0.25">
      <c r="B9" s="121"/>
      <c r="C9" s="110"/>
      <c r="D9" s="110" t="s">
        <v>25</v>
      </c>
      <c r="E9" s="73"/>
      <c r="F9" s="112"/>
      <c r="G9" s="112"/>
      <c r="H9" s="73"/>
      <c r="I9" s="16" t="s">
        <v>49</v>
      </c>
      <c r="J9" s="6">
        <f>IF(AND(H7="Si"),(J7/J8),"NA")</f>
        <v>0</v>
      </c>
      <c r="K9" s="111"/>
      <c r="L9" s="111"/>
      <c r="M9" s="77"/>
      <c r="N9" s="129"/>
      <c r="O9" s="111"/>
      <c r="P9" s="149"/>
    </row>
    <row r="10" spans="2:16" ht="39.75" customHeight="1" thickBot="1" x14ac:dyDescent="0.25">
      <c r="B10" s="121"/>
      <c r="C10" s="112" t="s">
        <v>11</v>
      </c>
      <c r="D10" s="110" t="s">
        <v>225</v>
      </c>
      <c r="E10" s="110" t="s">
        <v>50</v>
      </c>
      <c r="F10" s="112">
        <v>1</v>
      </c>
      <c r="G10" s="112"/>
      <c r="H10" s="71" t="s">
        <v>262</v>
      </c>
      <c r="I10" s="13" t="s">
        <v>48</v>
      </c>
      <c r="J10" s="14"/>
      <c r="K10" s="111" t="str">
        <f>IF((J12="NA"),"NA",((J12/F10)*10))</f>
        <v>NA</v>
      </c>
      <c r="L10" s="111"/>
      <c r="M10" s="77"/>
      <c r="N10" s="129"/>
      <c r="O10" s="111"/>
      <c r="P10" s="149"/>
    </row>
    <row r="11" spans="2:16" ht="32.25" customHeight="1" thickBot="1" x14ac:dyDescent="0.25">
      <c r="B11" s="121"/>
      <c r="C11" s="112"/>
      <c r="D11" s="110"/>
      <c r="E11" s="110"/>
      <c r="F11" s="112"/>
      <c r="G11" s="112"/>
      <c r="H11" s="72"/>
      <c r="I11" s="15" t="s">
        <v>47</v>
      </c>
      <c r="J11" s="8"/>
      <c r="K11" s="111"/>
      <c r="L11" s="111"/>
      <c r="M11" s="77"/>
      <c r="N11" s="129"/>
      <c r="O11" s="111"/>
      <c r="P11" s="149"/>
    </row>
    <row r="12" spans="2:16" ht="33.75" customHeight="1" thickBot="1" x14ac:dyDescent="0.25">
      <c r="B12" s="121"/>
      <c r="C12" s="112"/>
      <c r="D12" s="110"/>
      <c r="E12" s="110"/>
      <c r="F12" s="112"/>
      <c r="G12" s="112"/>
      <c r="H12" s="73"/>
      <c r="I12" s="16" t="s">
        <v>49</v>
      </c>
      <c r="J12" s="6" t="str">
        <f>IF(AND(H10="Si"),(J10/J11),"NA")</f>
        <v>NA</v>
      </c>
      <c r="K12" s="111"/>
      <c r="L12" s="111"/>
      <c r="M12" s="77"/>
      <c r="N12" s="129"/>
      <c r="O12" s="111"/>
      <c r="P12" s="149"/>
    </row>
    <row r="13" spans="2:16" ht="38.25" customHeight="1" thickBot="1" x14ac:dyDescent="0.25">
      <c r="B13" s="121"/>
      <c r="C13" s="112"/>
      <c r="D13" s="110" t="s">
        <v>226</v>
      </c>
      <c r="E13" s="110" t="s">
        <v>227</v>
      </c>
      <c r="F13" s="110" t="s">
        <v>264</v>
      </c>
      <c r="G13" s="112"/>
      <c r="H13" s="71" t="s">
        <v>262</v>
      </c>
      <c r="I13" s="13" t="s">
        <v>48</v>
      </c>
      <c r="J13" s="14"/>
      <c r="K13" s="111" t="str">
        <f>IF((J15="NA"),"NA",IF(J13&gt;10,0,((1-(J13/10))*10)))</f>
        <v>NA</v>
      </c>
      <c r="L13" s="111"/>
      <c r="M13" s="77"/>
      <c r="N13" s="129"/>
      <c r="O13" s="111"/>
      <c r="P13" s="149"/>
    </row>
    <row r="14" spans="2:16" ht="32.25" customHeight="1" thickBot="1" x14ac:dyDescent="0.25">
      <c r="B14" s="121"/>
      <c r="C14" s="112"/>
      <c r="D14" s="110"/>
      <c r="E14" s="112"/>
      <c r="F14" s="112"/>
      <c r="G14" s="112"/>
      <c r="H14" s="72"/>
      <c r="I14" s="15" t="s">
        <v>51</v>
      </c>
      <c r="J14" s="46" t="str">
        <f>IF(H13="Si",15,"")</f>
        <v/>
      </c>
      <c r="K14" s="111"/>
      <c r="L14" s="111"/>
      <c r="M14" s="77"/>
      <c r="N14" s="129"/>
      <c r="O14" s="111"/>
      <c r="P14" s="149"/>
    </row>
    <row r="15" spans="2:16" ht="33.75" customHeight="1" thickBot="1" x14ac:dyDescent="0.25">
      <c r="B15" s="121"/>
      <c r="C15" s="112"/>
      <c r="D15" s="110"/>
      <c r="E15" s="112"/>
      <c r="F15" s="112"/>
      <c r="G15" s="112"/>
      <c r="H15" s="73"/>
      <c r="I15" s="16" t="s">
        <v>49</v>
      </c>
      <c r="J15" s="7" t="str">
        <f>IF(AND(H13="Si"),(J13&amp;"/"&amp;J14&amp;"min"),"NA")</f>
        <v>NA</v>
      </c>
      <c r="K15" s="111"/>
      <c r="L15" s="111"/>
      <c r="M15" s="78"/>
      <c r="N15" s="129"/>
      <c r="O15" s="111"/>
      <c r="P15" s="149"/>
    </row>
    <row r="16" spans="2:16" ht="5.25" customHeight="1" thickBot="1" x14ac:dyDescent="0.25">
      <c r="B16" s="124"/>
      <c r="C16" s="125"/>
      <c r="D16" s="125"/>
      <c r="E16" s="125"/>
      <c r="F16" s="125"/>
      <c r="G16" s="125"/>
      <c r="H16" s="125"/>
      <c r="I16" s="125"/>
      <c r="J16" s="125"/>
      <c r="K16" s="125"/>
      <c r="L16" s="125"/>
      <c r="M16" s="125"/>
      <c r="N16" s="125"/>
      <c r="O16" s="126"/>
      <c r="P16" s="149"/>
    </row>
    <row r="17" spans="1:16" ht="31.5" customHeight="1" thickBot="1" x14ac:dyDescent="0.25">
      <c r="B17" s="118" t="s">
        <v>4</v>
      </c>
      <c r="C17" s="80" t="s">
        <v>12</v>
      </c>
      <c r="D17" s="116" t="s">
        <v>40</v>
      </c>
      <c r="E17" s="130" t="s">
        <v>53</v>
      </c>
      <c r="F17" s="106">
        <v>1</v>
      </c>
      <c r="G17" s="106"/>
      <c r="H17" s="71" t="s">
        <v>262</v>
      </c>
      <c r="I17" s="13" t="s">
        <v>48</v>
      </c>
      <c r="J17" s="14"/>
      <c r="K17" s="131" t="str">
        <f>IF((J19="NA"),"NA",(J19*10))</f>
        <v>NA</v>
      </c>
      <c r="L17" s="85">
        <f>IF(AND(H17="No",H20="No",H23="No",H26="No",H29="No"),0,AVERAGE(K17:K31))</f>
        <v>10</v>
      </c>
      <c r="M17" s="76" t="s">
        <v>223</v>
      </c>
      <c r="N17" s="99">
        <v>0.1</v>
      </c>
      <c r="O17" s="85">
        <f>L17*N17</f>
        <v>1</v>
      </c>
      <c r="P17" s="149"/>
    </row>
    <row r="18" spans="1:16" ht="30" customHeight="1" thickBot="1" x14ac:dyDescent="0.25">
      <c r="B18" s="119"/>
      <c r="C18" s="92"/>
      <c r="D18" s="116"/>
      <c r="E18" s="130"/>
      <c r="F18" s="106"/>
      <c r="G18" s="106"/>
      <c r="H18" s="72"/>
      <c r="I18" s="15" t="s">
        <v>47</v>
      </c>
      <c r="J18" s="8"/>
      <c r="K18" s="131"/>
      <c r="L18" s="86"/>
      <c r="M18" s="77"/>
      <c r="N18" s="122"/>
      <c r="O18" s="86"/>
      <c r="P18" s="149"/>
    </row>
    <row r="19" spans="1:16" s="17" customFormat="1" ht="36" customHeight="1" thickBot="1" x14ac:dyDescent="0.25">
      <c r="A19" s="10"/>
      <c r="B19" s="119"/>
      <c r="C19" s="92"/>
      <c r="D19" s="116"/>
      <c r="E19" s="130"/>
      <c r="F19" s="106"/>
      <c r="G19" s="106"/>
      <c r="H19" s="73"/>
      <c r="I19" s="16" t="s">
        <v>49</v>
      </c>
      <c r="J19" s="6" t="str">
        <f>IF(AND(H17="Si"),(J17/J18),"NA")</f>
        <v>NA</v>
      </c>
      <c r="K19" s="131"/>
      <c r="L19" s="86"/>
      <c r="M19" s="77"/>
      <c r="N19" s="122"/>
      <c r="O19" s="86"/>
      <c r="P19" s="149"/>
    </row>
    <row r="20" spans="1:16" s="17" customFormat="1" ht="35.25" customHeight="1" thickBot="1" x14ac:dyDescent="0.25">
      <c r="A20" s="10"/>
      <c r="B20" s="119"/>
      <c r="C20" s="92"/>
      <c r="D20" s="105" t="s">
        <v>41</v>
      </c>
      <c r="E20" s="130" t="s">
        <v>55</v>
      </c>
      <c r="F20" s="106">
        <v>1</v>
      </c>
      <c r="G20" s="106"/>
      <c r="H20" s="71" t="s">
        <v>262</v>
      </c>
      <c r="I20" s="13" t="s">
        <v>48</v>
      </c>
      <c r="J20" s="14"/>
      <c r="K20" s="131" t="str">
        <f>IF((J22="NA"),"NA",((J22*10)))</f>
        <v>NA</v>
      </c>
      <c r="L20" s="86"/>
      <c r="M20" s="77"/>
      <c r="N20" s="122"/>
      <c r="O20" s="86"/>
      <c r="P20" s="149"/>
    </row>
    <row r="21" spans="1:16" s="17" customFormat="1" ht="37.5" customHeight="1" thickBot="1" x14ac:dyDescent="0.25">
      <c r="A21" s="10"/>
      <c r="B21" s="119"/>
      <c r="C21" s="92"/>
      <c r="D21" s="105"/>
      <c r="E21" s="130"/>
      <c r="F21" s="106"/>
      <c r="G21" s="106"/>
      <c r="H21" s="72"/>
      <c r="I21" s="15" t="s">
        <v>47</v>
      </c>
      <c r="J21" s="8"/>
      <c r="K21" s="131"/>
      <c r="L21" s="86"/>
      <c r="M21" s="77"/>
      <c r="N21" s="122"/>
      <c r="O21" s="86"/>
      <c r="P21" s="149"/>
    </row>
    <row r="22" spans="1:16" s="17" customFormat="1" ht="42" customHeight="1" thickBot="1" x14ac:dyDescent="0.25">
      <c r="A22" s="10"/>
      <c r="B22" s="119"/>
      <c r="C22" s="92"/>
      <c r="D22" s="105"/>
      <c r="E22" s="130"/>
      <c r="F22" s="106"/>
      <c r="G22" s="106"/>
      <c r="H22" s="73"/>
      <c r="I22" s="16" t="s">
        <v>49</v>
      </c>
      <c r="J22" s="6" t="str">
        <f>IF(AND(H20="Si"),(J20/J21),"NA")</f>
        <v>NA</v>
      </c>
      <c r="K22" s="131"/>
      <c r="L22" s="86"/>
      <c r="M22" s="77"/>
      <c r="N22" s="122"/>
      <c r="O22" s="86"/>
      <c r="P22" s="149"/>
    </row>
    <row r="23" spans="1:16" s="17" customFormat="1" ht="36" customHeight="1" thickBot="1" x14ac:dyDescent="0.25">
      <c r="A23" s="10"/>
      <c r="B23" s="119"/>
      <c r="C23" s="80" t="s">
        <v>14</v>
      </c>
      <c r="D23" s="105" t="s">
        <v>42</v>
      </c>
      <c r="E23" s="116" t="s">
        <v>272</v>
      </c>
      <c r="F23" s="132">
        <v>1</v>
      </c>
      <c r="G23" s="132"/>
      <c r="H23" s="71" t="s">
        <v>262</v>
      </c>
      <c r="I23" s="13" t="s">
        <v>48</v>
      </c>
      <c r="J23" s="14"/>
      <c r="K23" s="104" t="str">
        <f>IF((J25="NA"),"NA",((J25*10)))</f>
        <v>NA</v>
      </c>
      <c r="L23" s="86"/>
      <c r="M23" s="77"/>
      <c r="N23" s="122"/>
      <c r="O23" s="86"/>
      <c r="P23" s="149"/>
    </row>
    <row r="24" spans="1:16" s="17" customFormat="1" ht="34.5" customHeight="1" thickBot="1" x14ac:dyDescent="0.25">
      <c r="A24" s="10"/>
      <c r="B24" s="119"/>
      <c r="C24" s="92"/>
      <c r="D24" s="105"/>
      <c r="E24" s="116"/>
      <c r="F24" s="132"/>
      <c r="G24" s="132"/>
      <c r="H24" s="72"/>
      <c r="I24" s="15" t="s">
        <v>47</v>
      </c>
      <c r="J24" s="8"/>
      <c r="K24" s="104"/>
      <c r="L24" s="86"/>
      <c r="M24" s="77"/>
      <c r="N24" s="122"/>
      <c r="O24" s="86"/>
      <c r="P24" s="149"/>
    </row>
    <row r="25" spans="1:16" s="17" customFormat="1" ht="36.75" customHeight="1" thickBot="1" x14ac:dyDescent="0.25">
      <c r="A25" s="10"/>
      <c r="B25" s="119"/>
      <c r="C25" s="92"/>
      <c r="D25" s="105"/>
      <c r="E25" s="116"/>
      <c r="F25" s="132"/>
      <c r="G25" s="132"/>
      <c r="H25" s="73"/>
      <c r="I25" s="16" t="s">
        <v>33</v>
      </c>
      <c r="J25" s="6" t="str">
        <f>IF(AND(H23="Si"),(J23/J24),"NA")</f>
        <v>NA</v>
      </c>
      <c r="K25" s="104"/>
      <c r="L25" s="86"/>
      <c r="M25" s="77"/>
      <c r="N25" s="122"/>
      <c r="O25" s="86"/>
      <c r="P25" s="149"/>
    </row>
    <row r="26" spans="1:16" s="17" customFormat="1" ht="36.75" customHeight="1" thickBot="1" x14ac:dyDescent="0.25">
      <c r="A26" s="10"/>
      <c r="B26" s="119"/>
      <c r="C26" s="92"/>
      <c r="D26" s="105" t="s">
        <v>259</v>
      </c>
      <c r="E26" s="116" t="s">
        <v>267</v>
      </c>
      <c r="F26" s="132">
        <v>0</v>
      </c>
      <c r="G26" s="132"/>
      <c r="H26" s="71" t="s">
        <v>261</v>
      </c>
      <c r="I26" s="13" t="s">
        <v>48</v>
      </c>
      <c r="J26" s="26">
        <v>0</v>
      </c>
      <c r="K26" s="111">
        <f>IF((J28="NA"),"NA",((1-J28)*10))</f>
        <v>10</v>
      </c>
      <c r="L26" s="86"/>
      <c r="M26" s="77"/>
      <c r="N26" s="122"/>
      <c r="O26" s="86"/>
      <c r="P26" s="149"/>
    </row>
    <row r="27" spans="1:16" s="17" customFormat="1" ht="36.75" customHeight="1" thickBot="1" x14ac:dyDescent="0.25">
      <c r="A27" s="10"/>
      <c r="B27" s="119"/>
      <c r="C27" s="92"/>
      <c r="D27" s="105"/>
      <c r="E27" s="116"/>
      <c r="F27" s="132"/>
      <c r="G27" s="132"/>
      <c r="H27" s="72"/>
      <c r="I27" s="15" t="s">
        <v>47</v>
      </c>
      <c r="J27" s="27">
        <v>1</v>
      </c>
      <c r="K27" s="111"/>
      <c r="L27" s="86"/>
      <c r="M27" s="77"/>
      <c r="N27" s="122"/>
      <c r="O27" s="86"/>
      <c r="P27" s="149"/>
    </row>
    <row r="28" spans="1:16" s="17" customFormat="1" ht="36.75" customHeight="1" thickBot="1" x14ac:dyDescent="0.25">
      <c r="A28" s="10"/>
      <c r="B28" s="119"/>
      <c r="C28" s="93"/>
      <c r="D28" s="105"/>
      <c r="E28" s="116"/>
      <c r="F28" s="132"/>
      <c r="G28" s="132"/>
      <c r="H28" s="73"/>
      <c r="I28" s="16" t="s">
        <v>49</v>
      </c>
      <c r="J28" s="6">
        <f>IF(AND(H26="Si"),(J26/J27),"NA")</f>
        <v>0</v>
      </c>
      <c r="K28" s="111"/>
      <c r="L28" s="86"/>
      <c r="M28" s="77"/>
      <c r="N28" s="122"/>
      <c r="O28" s="86"/>
      <c r="P28" s="149"/>
    </row>
    <row r="29" spans="1:16" ht="45.75" customHeight="1" x14ac:dyDescent="0.2">
      <c r="B29" s="119"/>
      <c r="C29" s="80" t="s">
        <v>57</v>
      </c>
      <c r="D29" s="113" t="s">
        <v>58</v>
      </c>
      <c r="E29" s="80" t="s">
        <v>59</v>
      </c>
      <c r="F29" s="81" t="s">
        <v>79</v>
      </c>
      <c r="G29" s="82"/>
      <c r="H29" s="71" t="s">
        <v>262</v>
      </c>
      <c r="I29" s="13" t="s">
        <v>48</v>
      </c>
      <c r="J29" s="14"/>
      <c r="K29" s="85" t="str">
        <f>IF((J31="NA"),"NA",IF(J29&gt;10,0,(((1-(J29/10))*10))))</f>
        <v>NA</v>
      </c>
      <c r="L29" s="86"/>
      <c r="M29" s="77"/>
      <c r="N29" s="122"/>
      <c r="O29" s="86"/>
      <c r="P29" s="149"/>
    </row>
    <row r="30" spans="1:16" ht="42.75" customHeight="1" x14ac:dyDescent="0.2">
      <c r="B30" s="119"/>
      <c r="C30" s="92"/>
      <c r="D30" s="114"/>
      <c r="E30" s="79"/>
      <c r="F30" s="83"/>
      <c r="G30" s="84"/>
      <c r="H30" s="72"/>
      <c r="I30" s="15" t="s">
        <v>51</v>
      </c>
      <c r="J30" s="46" t="str">
        <f>IF(H29="Si",1,"")</f>
        <v/>
      </c>
      <c r="K30" s="86"/>
      <c r="L30" s="86"/>
      <c r="M30" s="77"/>
      <c r="N30" s="122"/>
      <c r="O30" s="86"/>
      <c r="P30" s="149"/>
    </row>
    <row r="31" spans="1:16" ht="39.75" customHeight="1" thickBot="1" x14ac:dyDescent="0.25">
      <c r="B31" s="120"/>
      <c r="C31" s="93"/>
      <c r="D31" s="115"/>
      <c r="E31" s="75"/>
      <c r="F31" s="102"/>
      <c r="G31" s="103"/>
      <c r="H31" s="73"/>
      <c r="I31" s="16" t="s">
        <v>60</v>
      </c>
      <c r="J31" s="7" t="str">
        <f>IF(AND(H29="Si"),(J29&amp;"/"&amp;J30&amp;"min"),"NA")</f>
        <v>NA</v>
      </c>
      <c r="K31" s="100"/>
      <c r="L31" s="100"/>
      <c r="M31" s="78"/>
      <c r="N31" s="123"/>
      <c r="O31" s="100"/>
      <c r="P31" s="149"/>
    </row>
    <row r="32" spans="1:16" ht="5.25" customHeight="1" thickBot="1" x14ac:dyDescent="0.25">
      <c r="B32" s="96"/>
      <c r="C32" s="97"/>
      <c r="D32" s="97"/>
      <c r="E32" s="97"/>
      <c r="F32" s="97"/>
      <c r="G32" s="97"/>
      <c r="H32" s="97"/>
      <c r="I32" s="97"/>
      <c r="J32" s="97"/>
      <c r="K32" s="97"/>
      <c r="L32" s="97"/>
      <c r="M32" s="97"/>
      <c r="N32" s="97"/>
      <c r="O32" s="98"/>
      <c r="P32" s="149"/>
    </row>
    <row r="33" spans="2:16" ht="33.75" customHeight="1" thickBot="1" x14ac:dyDescent="0.25">
      <c r="B33" s="127" t="s">
        <v>5</v>
      </c>
      <c r="C33" s="80" t="s">
        <v>43</v>
      </c>
      <c r="D33" s="80" t="s">
        <v>61</v>
      </c>
      <c r="E33" s="80" t="s">
        <v>62</v>
      </c>
      <c r="F33" s="81" t="s">
        <v>291</v>
      </c>
      <c r="G33" s="82"/>
      <c r="H33" s="71" t="s">
        <v>262</v>
      </c>
      <c r="I33" s="13" t="s">
        <v>48</v>
      </c>
      <c r="J33" s="42"/>
      <c r="K33" s="107" t="str">
        <f>IF(OR(J35="NA"),"NA",IF(J35&gt;15,0,((J35/15)*10)))</f>
        <v>NA</v>
      </c>
      <c r="L33" s="111">
        <f>IF(AND(H33="No",H36="No",H39="No",H42="No",H44="No",H46="No",H48="No",H51="No",H54="No"),0,AVERAGE(K33:K56))</f>
        <v>5.6000000000000005</v>
      </c>
      <c r="M33" s="76" t="s">
        <v>223</v>
      </c>
      <c r="N33" s="129">
        <v>0.15</v>
      </c>
      <c r="O33" s="111">
        <f>L33*N33</f>
        <v>0.84000000000000008</v>
      </c>
      <c r="P33" s="149"/>
    </row>
    <row r="34" spans="2:16" ht="33.75" customHeight="1" thickBot="1" x14ac:dyDescent="0.25">
      <c r="B34" s="127"/>
      <c r="C34" s="92"/>
      <c r="D34" s="92"/>
      <c r="E34" s="79"/>
      <c r="F34" s="83"/>
      <c r="G34" s="84"/>
      <c r="H34" s="72"/>
      <c r="I34" s="15" t="s">
        <v>47</v>
      </c>
      <c r="J34" s="43"/>
      <c r="K34" s="108"/>
      <c r="L34" s="112"/>
      <c r="M34" s="77"/>
      <c r="N34" s="129"/>
      <c r="O34" s="111"/>
      <c r="P34" s="149"/>
    </row>
    <row r="35" spans="2:16" ht="35.25" customHeight="1" thickBot="1" x14ac:dyDescent="0.25">
      <c r="B35" s="127"/>
      <c r="C35" s="92"/>
      <c r="D35" s="93"/>
      <c r="E35" s="75"/>
      <c r="F35" s="102"/>
      <c r="G35" s="103"/>
      <c r="H35" s="73"/>
      <c r="I35" s="16" t="s">
        <v>49</v>
      </c>
      <c r="J35" s="7" t="str">
        <f>IF((H33="Si"),(J34-J33),"NA")</f>
        <v>NA</v>
      </c>
      <c r="K35" s="109"/>
      <c r="L35" s="112"/>
      <c r="M35" s="77"/>
      <c r="N35" s="129"/>
      <c r="O35" s="111"/>
      <c r="P35" s="149"/>
    </row>
    <row r="36" spans="2:16" ht="35.25" customHeight="1" thickBot="1" x14ac:dyDescent="0.25">
      <c r="B36" s="127"/>
      <c r="C36" s="92"/>
      <c r="D36" s="80" t="s">
        <v>63</v>
      </c>
      <c r="E36" s="80" t="s">
        <v>64</v>
      </c>
      <c r="F36" s="81" t="s">
        <v>290</v>
      </c>
      <c r="G36" s="82"/>
      <c r="H36" s="71" t="s">
        <v>262</v>
      </c>
      <c r="I36" s="13" t="s">
        <v>48</v>
      </c>
      <c r="J36" s="42"/>
      <c r="K36" s="107" t="str">
        <f>IF(OR(J38="NA"),"NA",IF(J38&gt;20,0,((J38/20))*10))</f>
        <v>NA</v>
      </c>
      <c r="L36" s="112"/>
      <c r="M36" s="77"/>
      <c r="N36" s="129"/>
      <c r="O36" s="111"/>
      <c r="P36" s="149"/>
    </row>
    <row r="37" spans="2:16" ht="35.25" customHeight="1" thickBot="1" x14ac:dyDescent="0.25">
      <c r="B37" s="127"/>
      <c r="C37" s="92"/>
      <c r="D37" s="92"/>
      <c r="E37" s="79"/>
      <c r="F37" s="83"/>
      <c r="G37" s="84"/>
      <c r="H37" s="72"/>
      <c r="I37" s="15" t="s">
        <v>47</v>
      </c>
      <c r="J37" s="43"/>
      <c r="K37" s="108"/>
      <c r="L37" s="112"/>
      <c r="M37" s="77"/>
      <c r="N37" s="129"/>
      <c r="O37" s="111"/>
      <c r="P37" s="149"/>
    </row>
    <row r="38" spans="2:16" ht="34.5" customHeight="1" thickBot="1" x14ac:dyDescent="0.25">
      <c r="B38" s="127"/>
      <c r="C38" s="92"/>
      <c r="D38" s="93"/>
      <c r="E38" s="75"/>
      <c r="F38" s="102"/>
      <c r="G38" s="103"/>
      <c r="H38" s="73"/>
      <c r="I38" s="16" t="s">
        <v>49</v>
      </c>
      <c r="J38" s="7" t="str">
        <f>IF((H36="Si"),(J37-J36),"NA")</f>
        <v>NA</v>
      </c>
      <c r="K38" s="109"/>
      <c r="L38" s="112"/>
      <c r="M38" s="77"/>
      <c r="N38" s="129"/>
      <c r="O38" s="111"/>
      <c r="P38" s="149"/>
    </row>
    <row r="39" spans="2:16" ht="36" customHeight="1" thickBot="1" x14ac:dyDescent="0.25">
      <c r="B39" s="127"/>
      <c r="C39" s="92"/>
      <c r="D39" s="89" t="s">
        <v>65</v>
      </c>
      <c r="E39" s="89" t="s">
        <v>66</v>
      </c>
      <c r="F39" s="90" t="s">
        <v>292</v>
      </c>
      <c r="G39" s="91"/>
      <c r="H39" s="71" t="s">
        <v>262</v>
      </c>
      <c r="I39" s="18" t="s">
        <v>48</v>
      </c>
      <c r="J39" s="44"/>
      <c r="K39" s="85" t="str">
        <f>IF((J41="NA"),"NA",IF(J39&gt;=10,10,((J39/20)*10)))</f>
        <v>NA</v>
      </c>
      <c r="L39" s="112"/>
      <c r="M39" s="77"/>
      <c r="N39" s="129"/>
      <c r="O39" s="111"/>
      <c r="P39" s="149"/>
    </row>
    <row r="40" spans="2:16" ht="31.5" customHeight="1" thickBot="1" x14ac:dyDescent="0.25">
      <c r="B40" s="127"/>
      <c r="C40" s="92"/>
      <c r="D40" s="94"/>
      <c r="E40" s="128"/>
      <c r="F40" s="91"/>
      <c r="G40" s="91"/>
      <c r="H40" s="72"/>
      <c r="I40" s="19" t="s">
        <v>51</v>
      </c>
      <c r="J40" s="45" t="str">
        <f>IF(H39="Si",20,"")</f>
        <v/>
      </c>
      <c r="K40" s="86"/>
      <c r="L40" s="112"/>
      <c r="M40" s="77"/>
      <c r="N40" s="129"/>
      <c r="O40" s="111"/>
      <c r="P40" s="149"/>
    </row>
    <row r="41" spans="2:16" ht="31.5" customHeight="1" thickBot="1" x14ac:dyDescent="0.25">
      <c r="B41" s="127"/>
      <c r="C41" s="93"/>
      <c r="D41" s="95"/>
      <c r="E41" s="88"/>
      <c r="F41" s="91"/>
      <c r="G41" s="91"/>
      <c r="H41" s="73"/>
      <c r="I41" s="20" t="s">
        <v>49</v>
      </c>
      <c r="J41" s="7" t="str">
        <f>IF((H39="Si"),(J39&amp;"/"&amp;J40&amp;"min"),"NA")</f>
        <v>NA</v>
      </c>
      <c r="K41" s="100"/>
      <c r="L41" s="112"/>
      <c r="M41" s="77"/>
      <c r="N41" s="129"/>
      <c r="O41" s="111"/>
      <c r="P41" s="149"/>
    </row>
    <row r="42" spans="2:16" ht="29.25" customHeight="1" thickBot="1" x14ac:dyDescent="0.25">
      <c r="B42" s="127"/>
      <c r="C42" s="80" t="s">
        <v>15</v>
      </c>
      <c r="D42" s="74" t="s">
        <v>68</v>
      </c>
      <c r="E42" s="80" t="s">
        <v>69</v>
      </c>
      <c r="F42" s="81" t="s">
        <v>70</v>
      </c>
      <c r="G42" s="82"/>
      <c r="H42" s="74" t="s">
        <v>261</v>
      </c>
      <c r="I42" s="13" t="s">
        <v>48</v>
      </c>
      <c r="J42" s="14">
        <v>22</v>
      </c>
      <c r="K42" s="85">
        <f>IF((J43="NA"),"NA",IF(J43&gt;50,0,(((1-(J43/50))*10))))</f>
        <v>5.6000000000000005</v>
      </c>
      <c r="L42" s="112"/>
      <c r="M42" s="77"/>
      <c r="N42" s="129"/>
      <c r="O42" s="111"/>
      <c r="P42" s="149"/>
    </row>
    <row r="43" spans="2:16" ht="26.25" customHeight="1" thickBot="1" x14ac:dyDescent="0.25">
      <c r="B43" s="127"/>
      <c r="C43" s="92"/>
      <c r="D43" s="79"/>
      <c r="E43" s="79"/>
      <c r="F43" s="83"/>
      <c r="G43" s="84"/>
      <c r="H43" s="75"/>
      <c r="I43" s="15" t="s">
        <v>49</v>
      </c>
      <c r="J43" s="40">
        <f>IF(H42="Si",(J42),"NA")</f>
        <v>22</v>
      </c>
      <c r="K43" s="86"/>
      <c r="L43" s="112"/>
      <c r="M43" s="77"/>
      <c r="N43" s="129"/>
      <c r="O43" s="111"/>
      <c r="P43" s="149"/>
    </row>
    <row r="44" spans="2:16" ht="30.75" customHeight="1" thickBot="1" x14ac:dyDescent="0.25">
      <c r="B44" s="127"/>
      <c r="C44" s="92"/>
      <c r="D44" s="87" t="s">
        <v>72</v>
      </c>
      <c r="E44" s="89" t="s">
        <v>271</v>
      </c>
      <c r="F44" s="90" t="s">
        <v>270</v>
      </c>
      <c r="G44" s="91"/>
      <c r="H44" s="71" t="s">
        <v>262</v>
      </c>
      <c r="I44" s="13" t="s">
        <v>48</v>
      </c>
      <c r="J44" s="26"/>
      <c r="K44" s="104" t="str">
        <f>IF((J45="NA"),"NA",IF(J45&gt;=10,0,IF(J45=1,10,((1-(J45/10))*10))))</f>
        <v>NA</v>
      </c>
      <c r="L44" s="112"/>
      <c r="M44" s="77"/>
      <c r="N44" s="129"/>
      <c r="O44" s="111"/>
      <c r="P44" s="149"/>
    </row>
    <row r="45" spans="2:16" ht="29.25" customHeight="1" thickBot="1" x14ac:dyDescent="0.25">
      <c r="B45" s="127"/>
      <c r="C45" s="92"/>
      <c r="D45" s="88" t="s">
        <v>71</v>
      </c>
      <c r="E45" s="88"/>
      <c r="F45" s="91"/>
      <c r="G45" s="91"/>
      <c r="H45" s="73"/>
      <c r="I45" s="16" t="s">
        <v>49</v>
      </c>
      <c r="J45" s="6" t="str">
        <f>IF(H44="Si",(J44),"NA")</f>
        <v>NA</v>
      </c>
      <c r="K45" s="104"/>
      <c r="L45" s="112"/>
      <c r="M45" s="77"/>
      <c r="N45" s="129"/>
      <c r="O45" s="111"/>
      <c r="P45" s="149"/>
    </row>
    <row r="46" spans="2:16" ht="36" customHeight="1" thickBot="1" x14ac:dyDescent="0.25">
      <c r="B46" s="127"/>
      <c r="C46" s="92"/>
      <c r="D46" s="74" t="s">
        <v>74</v>
      </c>
      <c r="E46" s="80" t="s">
        <v>268</v>
      </c>
      <c r="F46" s="81" t="s">
        <v>269</v>
      </c>
      <c r="G46" s="82"/>
      <c r="H46" s="71" t="s">
        <v>262</v>
      </c>
      <c r="I46" s="13" t="s">
        <v>48</v>
      </c>
      <c r="J46" s="26"/>
      <c r="K46" s="104" t="str">
        <f>IF((J47="NA"),"NA",IF(J47&gt;=10,0,IF(J47=1,10,((1-(J47/10))*10))))</f>
        <v>NA</v>
      </c>
      <c r="L46" s="112"/>
      <c r="M46" s="77"/>
      <c r="N46" s="129"/>
      <c r="O46" s="111"/>
      <c r="P46" s="149"/>
    </row>
    <row r="47" spans="2:16" ht="26.25" customHeight="1" thickBot="1" x14ac:dyDescent="0.25">
      <c r="B47" s="127"/>
      <c r="C47" s="92"/>
      <c r="D47" s="75"/>
      <c r="E47" s="75"/>
      <c r="F47" s="102"/>
      <c r="G47" s="103"/>
      <c r="H47" s="73"/>
      <c r="I47" s="16" t="s">
        <v>33</v>
      </c>
      <c r="J47" s="6" t="str">
        <f>IF(H46="Si",(J46),"NA")</f>
        <v>NA</v>
      </c>
      <c r="K47" s="104"/>
      <c r="L47" s="112"/>
      <c r="M47" s="77"/>
      <c r="N47" s="129"/>
      <c r="O47" s="111"/>
      <c r="P47" s="149"/>
    </row>
    <row r="48" spans="2:16" ht="33.75" customHeight="1" thickBot="1" x14ac:dyDescent="0.25">
      <c r="B48" s="127"/>
      <c r="C48" s="92"/>
      <c r="D48" s="80" t="s">
        <v>75</v>
      </c>
      <c r="E48" s="80" t="s">
        <v>273</v>
      </c>
      <c r="F48" s="105" t="s">
        <v>73</v>
      </c>
      <c r="G48" s="106"/>
      <c r="H48" s="71" t="s">
        <v>262</v>
      </c>
      <c r="I48" s="13" t="s">
        <v>48</v>
      </c>
      <c r="J48" s="42"/>
      <c r="K48" s="107" t="str">
        <f>IF((J50="NA"),"NA",IF(J50&gt;15,0,(((1-(J50/15))*10))))</f>
        <v>NA</v>
      </c>
      <c r="L48" s="112"/>
      <c r="M48" s="77"/>
      <c r="N48" s="129"/>
      <c r="O48" s="111"/>
      <c r="P48" s="149"/>
    </row>
    <row r="49" spans="2:16" ht="33.75" customHeight="1" thickBot="1" x14ac:dyDescent="0.25">
      <c r="B49" s="127"/>
      <c r="C49" s="92"/>
      <c r="D49" s="92"/>
      <c r="E49" s="79"/>
      <c r="F49" s="106"/>
      <c r="G49" s="106"/>
      <c r="H49" s="72"/>
      <c r="I49" s="15" t="s">
        <v>47</v>
      </c>
      <c r="J49" s="43"/>
      <c r="K49" s="108"/>
      <c r="L49" s="112"/>
      <c r="M49" s="77"/>
      <c r="N49" s="129"/>
      <c r="O49" s="111"/>
      <c r="P49" s="149"/>
    </row>
    <row r="50" spans="2:16" ht="33.75" customHeight="1" thickBot="1" x14ac:dyDescent="0.25">
      <c r="B50" s="127"/>
      <c r="C50" s="93"/>
      <c r="D50" s="93"/>
      <c r="E50" s="75"/>
      <c r="F50" s="106"/>
      <c r="G50" s="106"/>
      <c r="H50" s="73"/>
      <c r="I50" s="16" t="s">
        <v>49</v>
      </c>
      <c r="J50" s="7" t="str">
        <f>IF((H48="Si"),(J49-J48),"NA")</f>
        <v>NA</v>
      </c>
      <c r="K50" s="109"/>
      <c r="L50" s="112"/>
      <c r="M50" s="77"/>
      <c r="N50" s="129"/>
      <c r="O50" s="111"/>
      <c r="P50" s="149"/>
    </row>
    <row r="51" spans="2:16" ht="39" customHeight="1" thickBot="1" x14ac:dyDescent="0.25">
      <c r="B51" s="127"/>
      <c r="C51" s="105" t="s">
        <v>16</v>
      </c>
      <c r="D51" s="80" t="s">
        <v>77</v>
      </c>
      <c r="E51" s="80" t="s">
        <v>76</v>
      </c>
      <c r="F51" s="105" t="s">
        <v>293</v>
      </c>
      <c r="G51" s="106"/>
      <c r="H51" s="71" t="s">
        <v>262</v>
      </c>
      <c r="I51" s="13" t="s">
        <v>48</v>
      </c>
      <c r="J51" s="44"/>
      <c r="K51" s="85" t="str">
        <f>IF((J53="NA"),"NA",IF(J51&gt;10,10,(((J51/10)*10))))</f>
        <v>NA</v>
      </c>
      <c r="L51" s="112"/>
      <c r="M51" s="77"/>
      <c r="N51" s="129"/>
      <c r="O51" s="111"/>
      <c r="P51" s="149"/>
    </row>
    <row r="52" spans="2:16" ht="35.25" customHeight="1" thickBot="1" x14ac:dyDescent="0.25">
      <c r="B52" s="127"/>
      <c r="C52" s="105"/>
      <c r="D52" s="92"/>
      <c r="E52" s="79"/>
      <c r="F52" s="106"/>
      <c r="G52" s="106"/>
      <c r="H52" s="72"/>
      <c r="I52" s="15" t="s">
        <v>51</v>
      </c>
      <c r="J52" s="46" t="str">
        <f>IF(H51="Si",3,"")</f>
        <v/>
      </c>
      <c r="K52" s="86"/>
      <c r="L52" s="112"/>
      <c r="M52" s="77"/>
      <c r="N52" s="129"/>
      <c r="O52" s="111"/>
      <c r="P52" s="149"/>
    </row>
    <row r="53" spans="2:16" ht="33" customHeight="1" thickBot="1" x14ac:dyDescent="0.25">
      <c r="B53" s="127"/>
      <c r="C53" s="105"/>
      <c r="D53" s="93"/>
      <c r="E53" s="75"/>
      <c r="F53" s="106"/>
      <c r="G53" s="106"/>
      <c r="H53" s="73"/>
      <c r="I53" s="16" t="s">
        <v>49</v>
      </c>
      <c r="J53" s="7" t="str">
        <f>IF(H51="Si",(J51&amp;"/"&amp;J52&amp;"min"),"NA")</f>
        <v>NA</v>
      </c>
      <c r="K53" s="100"/>
      <c r="L53" s="112"/>
      <c r="M53" s="77"/>
      <c r="N53" s="129"/>
      <c r="O53" s="111"/>
      <c r="P53" s="149"/>
    </row>
    <row r="54" spans="2:16" ht="33" customHeight="1" thickBot="1" x14ac:dyDescent="0.25">
      <c r="B54" s="127"/>
      <c r="C54" s="105"/>
      <c r="D54" s="89" t="s">
        <v>130</v>
      </c>
      <c r="E54" s="80" t="s">
        <v>78</v>
      </c>
      <c r="F54" s="105" t="s">
        <v>293</v>
      </c>
      <c r="G54" s="106"/>
      <c r="H54" s="71" t="s">
        <v>262</v>
      </c>
      <c r="I54" s="13" t="s">
        <v>48</v>
      </c>
      <c r="J54" s="29"/>
      <c r="K54" s="85" t="str">
        <f>IF((J56="NA"),"NA",IF(J54&gt;10,10,(((J54/10)*10))))</f>
        <v>NA</v>
      </c>
      <c r="L54" s="112"/>
      <c r="M54" s="77"/>
      <c r="N54" s="129"/>
      <c r="O54" s="111"/>
      <c r="P54" s="149"/>
    </row>
    <row r="55" spans="2:16" ht="33" customHeight="1" thickBot="1" x14ac:dyDescent="0.25">
      <c r="B55" s="127"/>
      <c r="C55" s="105"/>
      <c r="D55" s="94"/>
      <c r="E55" s="79"/>
      <c r="F55" s="106"/>
      <c r="G55" s="106"/>
      <c r="H55" s="72"/>
      <c r="I55" s="15" t="s">
        <v>51</v>
      </c>
      <c r="J55" s="46" t="str">
        <f>IF(H54="Si",3,"")</f>
        <v/>
      </c>
      <c r="K55" s="86"/>
      <c r="L55" s="112"/>
      <c r="M55" s="77"/>
      <c r="N55" s="129"/>
      <c r="O55" s="111"/>
      <c r="P55" s="149"/>
    </row>
    <row r="56" spans="2:16" ht="33" customHeight="1" thickBot="1" x14ac:dyDescent="0.25">
      <c r="B56" s="127"/>
      <c r="C56" s="105"/>
      <c r="D56" s="95"/>
      <c r="E56" s="75"/>
      <c r="F56" s="106"/>
      <c r="G56" s="106"/>
      <c r="H56" s="73"/>
      <c r="I56" s="16" t="s">
        <v>49</v>
      </c>
      <c r="J56" s="7" t="str">
        <f>IF(H54="Si",(J54&amp;"/"&amp;J55&amp;"min"),"NA")</f>
        <v>NA</v>
      </c>
      <c r="K56" s="100"/>
      <c r="L56" s="112"/>
      <c r="M56" s="78"/>
      <c r="N56" s="129"/>
      <c r="O56" s="111"/>
      <c r="P56" s="149"/>
    </row>
    <row r="57" spans="2:16" ht="5.25" customHeight="1" thickBot="1" x14ac:dyDescent="0.25">
      <c r="B57" s="96"/>
      <c r="C57" s="97"/>
      <c r="D57" s="97"/>
      <c r="E57" s="97"/>
      <c r="F57" s="97"/>
      <c r="G57" s="97"/>
      <c r="H57" s="97"/>
      <c r="I57" s="97"/>
      <c r="J57" s="97"/>
      <c r="K57" s="97"/>
      <c r="L57" s="97"/>
      <c r="M57" s="97"/>
      <c r="N57" s="97"/>
      <c r="O57" s="98"/>
      <c r="P57" s="149"/>
    </row>
    <row r="58" spans="2:16" ht="36.75" customHeight="1" thickBot="1" x14ac:dyDescent="0.25">
      <c r="B58" s="118" t="s">
        <v>6</v>
      </c>
      <c r="C58" s="80" t="s">
        <v>81</v>
      </c>
      <c r="D58" s="80" t="s">
        <v>80</v>
      </c>
      <c r="E58" s="80" t="s">
        <v>82</v>
      </c>
      <c r="F58" s="101">
        <v>1</v>
      </c>
      <c r="G58" s="82"/>
      <c r="H58" s="71" t="s">
        <v>261</v>
      </c>
      <c r="I58" s="13" t="s">
        <v>48</v>
      </c>
      <c r="J58" s="26">
        <v>25</v>
      </c>
      <c r="K58" s="104">
        <f>IF((J60="NA"),"NA",((J60*10)))</f>
        <v>10</v>
      </c>
      <c r="L58" s="85">
        <f>IF(AND(H58="No",H61="No",H64="No",H67="No",H70="No",H73="No",H76="No",H79="No",H82="No",H85="No",H88="No",H91="No"),0,AVERAGE(K58:K93))</f>
        <v>7.5272362385321099</v>
      </c>
      <c r="M58" s="76" t="s">
        <v>223</v>
      </c>
      <c r="N58" s="99">
        <v>0.15</v>
      </c>
      <c r="O58" s="85">
        <f>L58*N58</f>
        <v>1.1290854357798163</v>
      </c>
      <c r="P58" s="149"/>
    </row>
    <row r="59" spans="2:16" ht="33.75" customHeight="1" thickBot="1" x14ac:dyDescent="0.25">
      <c r="B59" s="119"/>
      <c r="C59" s="92"/>
      <c r="D59" s="92"/>
      <c r="E59" s="79"/>
      <c r="F59" s="83"/>
      <c r="G59" s="84"/>
      <c r="H59" s="72"/>
      <c r="I59" s="15" t="s">
        <v>47</v>
      </c>
      <c r="J59" s="27">
        <v>25</v>
      </c>
      <c r="K59" s="104"/>
      <c r="L59" s="72"/>
      <c r="M59" s="77"/>
      <c r="N59" s="79"/>
      <c r="O59" s="86"/>
      <c r="P59" s="149"/>
    </row>
    <row r="60" spans="2:16" ht="33.75" customHeight="1" thickBot="1" x14ac:dyDescent="0.25">
      <c r="B60" s="119"/>
      <c r="C60" s="92"/>
      <c r="D60" s="93"/>
      <c r="E60" s="75"/>
      <c r="F60" s="102"/>
      <c r="G60" s="103"/>
      <c r="H60" s="73"/>
      <c r="I60" s="16" t="s">
        <v>33</v>
      </c>
      <c r="J60" s="6">
        <f>IF(AND(H58="Si"),(J58/J59),"NA")</f>
        <v>1</v>
      </c>
      <c r="K60" s="104"/>
      <c r="L60" s="72"/>
      <c r="M60" s="77"/>
      <c r="N60" s="79"/>
      <c r="O60" s="86"/>
      <c r="P60" s="149"/>
    </row>
    <row r="61" spans="2:16" ht="38.25" customHeight="1" thickBot="1" x14ac:dyDescent="0.25">
      <c r="B61" s="119"/>
      <c r="C61" s="92"/>
      <c r="D61" s="80" t="s">
        <v>83</v>
      </c>
      <c r="E61" s="80" t="s">
        <v>84</v>
      </c>
      <c r="F61" s="105">
        <v>1</v>
      </c>
      <c r="G61" s="106"/>
      <c r="H61" s="71" t="s">
        <v>262</v>
      </c>
      <c r="I61" s="13" t="s">
        <v>48</v>
      </c>
      <c r="J61" s="26"/>
      <c r="K61" s="104" t="str">
        <f>IF((J63="NA"),"NA",((J63*10)))</f>
        <v>NA</v>
      </c>
      <c r="L61" s="72"/>
      <c r="M61" s="77"/>
      <c r="N61" s="79"/>
      <c r="O61" s="86"/>
      <c r="P61" s="149"/>
    </row>
    <row r="62" spans="2:16" ht="33.75" customHeight="1" thickBot="1" x14ac:dyDescent="0.25">
      <c r="B62" s="119"/>
      <c r="C62" s="92"/>
      <c r="D62" s="92"/>
      <c r="E62" s="79"/>
      <c r="F62" s="106"/>
      <c r="G62" s="106"/>
      <c r="H62" s="72"/>
      <c r="I62" s="15" t="s">
        <v>47</v>
      </c>
      <c r="J62" s="27"/>
      <c r="K62" s="104"/>
      <c r="L62" s="72"/>
      <c r="M62" s="77"/>
      <c r="N62" s="79"/>
      <c r="O62" s="86"/>
      <c r="P62" s="149"/>
    </row>
    <row r="63" spans="2:16" ht="33.75" customHeight="1" thickBot="1" x14ac:dyDescent="0.25">
      <c r="B63" s="119"/>
      <c r="C63" s="93"/>
      <c r="D63" s="93"/>
      <c r="E63" s="75"/>
      <c r="F63" s="106"/>
      <c r="G63" s="106"/>
      <c r="H63" s="73"/>
      <c r="I63" s="16" t="s">
        <v>33</v>
      </c>
      <c r="J63" s="6" t="str">
        <f>IF(AND(H61="Si"),(J61/J62),"NA")</f>
        <v>NA</v>
      </c>
      <c r="K63" s="104"/>
      <c r="L63" s="72"/>
      <c r="M63" s="77"/>
      <c r="N63" s="79"/>
      <c r="O63" s="86"/>
      <c r="P63" s="149"/>
    </row>
    <row r="64" spans="2:16" ht="30.75" customHeight="1" thickBot="1" x14ac:dyDescent="0.25">
      <c r="B64" s="119"/>
      <c r="C64" s="80" t="s">
        <v>17</v>
      </c>
      <c r="D64" s="80" t="s">
        <v>26</v>
      </c>
      <c r="E64" s="80" t="s">
        <v>284</v>
      </c>
      <c r="F64" s="105">
        <v>1</v>
      </c>
      <c r="G64" s="106"/>
      <c r="H64" s="71" t="s">
        <v>261</v>
      </c>
      <c r="I64" s="13" t="s">
        <v>48</v>
      </c>
      <c r="J64" s="26">
        <v>25</v>
      </c>
      <c r="K64" s="104">
        <f>IF((J66="NA"),"NA",((J66*10)))</f>
        <v>10</v>
      </c>
      <c r="L64" s="72"/>
      <c r="M64" s="77"/>
      <c r="N64" s="79"/>
      <c r="O64" s="86"/>
      <c r="P64" s="149"/>
    </row>
    <row r="65" spans="2:16" ht="30.75" customHeight="1" thickBot="1" x14ac:dyDescent="0.25">
      <c r="B65" s="119"/>
      <c r="C65" s="92"/>
      <c r="D65" s="92"/>
      <c r="E65" s="79"/>
      <c r="F65" s="106"/>
      <c r="G65" s="106"/>
      <c r="H65" s="72"/>
      <c r="I65" s="15" t="s">
        <v>47</v>
      </c>
      <c r="J65" s="27">
        <v>25</v>
      </c>
      <c r="K65" s="104"/>
      <c r="L65" s="72"/>
      <c r="M65" s="77"/>
      <c r="N65" s="79"/>
      <c r="O65" s="86"/>
      <c r="P65" s="149"/>
    </row>
    <row r="66" spans="2:16" ht="30" customHeight="1" thickBot="1" x14ac:dyDescent="0.25">
      <c r="B66" s="119"/>
      <c r="C66" s="92"/>
      <c r="D66" s="93"/>
      <c r="E66" s="75"/>
      <c r="F66" s="106"/>
      <c r="G66" s="106"/>
      <c r="H66" s="73"/>
      <c r="I66" s="16" t="s">
        <v>33</v>
      </c>
      <c r="J66" s="6">
        <f>IF(AND(H64="Si"),(J64/J65),"NA")</f>
        <v>1</v>
      </c>
      <c r="K66" s="104"/>
      <c r="L66" s="72"/>
      <c r="M66" s="77"/>
      <c r="N66" s="79"/>
      <c r="O66" s="86"/>
      <c r="P66" s="149"/>
    </row>
    <row r="67" spans="2:16" ht="30" customHeight="1" thickBot="1" x14ac:dyDescent="0.25">
      <c r="B67" s="119"/>
      <c r="C67" s="92"/>
      <c r="D67" s="80" t="s">
        <v>85</v>
      </c>
      <c r="E67" s="80" t="s">
        <v>285</v>
      </c>
      <c r="F67" s="105">
        <v>1</v>
      </c>
      <c r="G67" s="106"/>
      <c r="H67" s="71" t="s">
        <v>262</v>
      </c>
      <c r="I67" s="13" t="s">
        <v>48</v>
      </c>
      <c r="J67" s="26"/>
      <c r="K67" s="104" t="str">
        <f>IF((J69="NA"),"NA",((J69*10)))</f>
        <v>NA</v>
      </c>
      <c r="L67" s="72"/>
      <c r="M67" s="77"/>
      <c r="N67" s="79"/>
      <c r="O67" s="86"/>
      <c r="P67" s="149"/>
    </row>
    <row r="68" spans="2:16" ht="30" customHeight="1" thickBot="1" x14ac:dyDescent="0.25">
      <c r="B68" s="119"/>
      <c r="C68" s="92"/>
      <c r="D68" s="92"/>
      <c r="E68" s="79"/>
      <c r="F68" s="106"/>
      <c r="G68" s="106"/>
      <c r="H68" s="72"/>
      <c r="I68" s="15" t="s">
        <v>47</v>
      </c>
      <c r="J68" s="27"/>
      <c r="K68" s="104"/>
      <c r="L68" s="72"/>
      <c r="M68" s="77"/>
      <c r="N68" s="79"/>
      <c r="O68" s="86"/>
      <c r="P68" s="149"/>
    </row>
    <row r="69" spans="2:16" ht="30" customHeight="1" thickBot="1" x14ac:dyDescent="0.25">
      <c r="B69" s="119"/>
      <c r="C69" s="93"/>
      <c r="D69" s="93"/>
      <c r="E69" s="75"/>
      <c r="F69" s="106"/>
      <c r="G69" s="106"/>
      <c r="H69" s="73"/>
      <c r="I69" s="16" t="s">
        <v>33</v>
      </c>
      <c r="J69" s="6" t="str">
        <f>IF(AND(H67="Si"),(J67/J68),"NA")</f>
        <v>NA</v>
      </c>
      <c r="K69" s="104"/>
      <c r="L69" s="72"/>
      <c r="M69" s="77"/>
      <c r="N69" s="79"/>
      <c r="O69" s="86"/>
      <c r="P69" s="149"/>
    </row>
    <row r="70" spans="2:16" ht="29.25" customHeight="1" thickBot="1" x14ac:dyDescent="0.25">
      <c r="B70" s="119"/>
      <c r="C70" s="80" t="s">
        <v>18</v>
      </c>
      <c r="D70" s="80" t="s">
        <v>156</v>
      </c>
      <c r="E70" s="80" t="s">
        <v>274</v>
      </c>
      <c r="F70" s="105">
        <v>1</v>
      </c>
      <c r="G70" s="106"/>
      <c r="H70" s="71" t="s">
        <v>262</v>
      </c>
      <c r="I70" s="13" t="s">
        <v>48</v>
      </c>
      <c r="J70" s="26"/>
      <c r="K70" s="104" t="str">
        <f>IF((J72="NA"),"NA",((J72*10)))</f>
        <v>NA</v>
      </c>
      <c r="L70" s="72"/>
      <c r="M70" s="77"/>
      <c r="N70" s="79"/>
      <c r="O70" s="86"/>
      <c r="P70" s="149"/>
    </row>
    <row r="71" spans="2:16" ht="32.25" customHeight="1" thickBot="1" x14ac:dyDescent="0.25">
      <c r="B71" s="119"/>
      <c r="C71" s="92"/>
      <c r="D71" s="92"/>
      <c r="E71" s="79"/>
      <c r="F71" s="106"/>
      <c r="G71" s="106"/>
      <c r="H71" s="72"/>
      <c r="I71" s="15" t="s">
        <v>47</v>
      </c>
      <c r="J71" s="27"/>
      <c r="K71" s="104"/>
      <c r="L71" s="72"/>
      <c r="M71" s="77"/>
      <c r="N71" s="79"/>
      <c r="O71" s="86"/>
      <c r="P71" s="149"/>
    </row>
    <row r="72" spans="2:16" ht="30" customHeight="1" thickBot="1" x14ac:dyDescent="0.25">
      <c r="B72" s="119"/>
      <c r="C72" s="92"/>
      <c r="D72" s="93"/>
      <c r="E72" s="75"/>
      <c r="F72" s="106"/>
      <c r="G72" s="106"/>
      <c r="H72" s="73"/>
      <c r="I72" s="16" t="s">
        <v>33</v>
      </c>
      <c r="J72" s="6" t="str">
        <f>IF(AND(H70="Si"),(J70/J71),"NA")</f>
        <v>NA</v>
      </c>
      <c r="K72" s="104"/>
      <c r="L72" s="72"/>
      <c r="M72" s="77"/>
      <c r="N72" s="79"/>
      <c r="O72" s="86"/>
      <c r="P72" s="149"/>
    </row>
    <row r="73" spans="2:16" ht="33.75" customHeight="1" thickBot="1" x14ac:dyDescent="0.25">
      <c r="B73" s="119"/>
      <c r="C73" s="92"/>
      <c r="D73" s="80" t="s">
        <v>157</v>
      </c>
      <c r="E73" s="80" t="s">
        <v>286</v>
      </c>
      <c r="F73" s="101">
        <v>1</v>
      </c>
      <c r="G73" s="82"/>
      <c r="H73" s="71" t="s">
        <v>261</v>
      </c>
      <c r="I73" s="13" t="s">
        <v>48</v>
      </c>
      <c r="J73" s="26">
        <v>90</v>
      </c>
      <c r="K73" s="104">
        <f>IF((J75="NA"),"NA",((J75*10)))</f>
        <v>9.375</v>
      </c>
      <c r="L73" s="72"/>
      <c r="M73" s="77"/>
      <c r="N73" s="79"/>
      <c r="O73" s="86"/>
      <c r="P73" s="149"/>
    </row>
    <row r="74" spans="2:16" ht="30" customHeight="1" thickBot="1" x14ac:dyDescent="0.25">
      <c r="B74" s="119"/>
      <c r="C74" s="92"/>
      <c r="D74" s="92"/>
      <c r="E74" s="79"/>
      <c r="F74" s="83"/>
      <c r="G74" s="84"/>
      <c r="H74" s="72"/>
      <c r="I74" s="15" t="s">
        <v>47</v>
      </c>
      <c r="J74" s="27">
        <v>96</v>
      </c>
      <c r="K74" s="104"/>
      <c r="L74" s="72"/>
      <c r="M74" s="77"/>
      <c r="N74" s="79"/>
      <c r="O74" s="86"/>
      <c r="P74" s="149"/>
    </row>
    <row r="75" spans="2:16" ht="30" customHeight="1" thickBot="1" x14ac:dyDescent="0.25">
      <c r="B75" s="119"/>
      <c r="C75" s="92"/>
      <c r="D75" s="93"/>
      <c r="E75" s="75"/>
      <c r="F75" s="102"/>
      <c r="G75" s="103"/>
      <c r="H75" s="73"/>
      <c r="I75" s="16" t="s">
        <v>33</v>
      </c>
      <c r="J75" s="6">
        <f>IF(AND(H73="Si"),(J73/J74),"NA")</f>
        <v>0.9375</v>
      </c>
      <c r="K75" s="104"/>
      <c r="L75" s="72"/>
      <c r="M75" s="77"/>
      <c r="N75" s="79"/>
      <c r="O75" s="86"/>
      <c r="P75" s="149"/>
    </row>
    <row r="76" spans="2:16" ht="34.5" customHeight="1" thickBot="1" x14ac:dyDescent="0.25">
      <c r="B76" s="119"/>
      <c r="C76" s="92"/>
      <c r="D76" s="89" t="s">
        <v>158</v>
      </c>
      <c r="E76" s="80" t="s">
        <v>287</v>
      </c>
      <c r="F76" s="101">
        <v>0</v>
      </c>
      <c r="G76" s="82"/>
      <c r="H76" s="71" t="s">
        <v>262</v>
      </c>
      <c r="I76" s="13" t="s">
        <v>48</v>
      </c>
      <c r="J76" s="26"/>
      <c r="K76" s="104" t="str">
        <f>IF((J78="NA"),"NA",(((1-J78)*10)))</f>
        <v>NA</v>
      </c>
      <c r="L76" s="72"/>
      <c r="M76" s="77"/>
      <c r="N76" s="79"/>
      <c r="O76" s="86"/>
      <c r="P76" s="149"/>
    </row>
    <row r="77" spans="2:16" ht="35.25" customHeight="1" thickBot="1" x14ac:dyDescent="0.25">
      <c r="B77" s="119"/>
      <c r="C77" s="92"/>
      <c r="D77" s="94"/>
      <c r="E77" s="79"/>
      <c r="F77" s="83"/>
      <c r="G77" s="84"/>
      <c r="H77" s="72"/>
      <c r="I77" s="15" t="s">
        <v>47</v>
      </c>
      <c r="J77" s="27"/>
      <c r="K77" s="104"/>
      <c r="L77" s="72"/>
      <c r="M77" s="77"/>
      <c r="N77" s="79"/>
      <c r="O77" s="86"/>
      <c r="P77" s="149"/>
    </row>
    <row r="78" spans="2:16" ht="33.75" customHeight="1" thickBot="1" x14ac:dyDescent="0.25">
      <c r="B78" s="119"/>
      <c r="C78" s="92"/>
      <c r="D78" s="95"/>
      <c r="E78" s="75"/>
      <c r="F78" s="102"/>
      <c r="G78" s="103"/>
      <c r="H78" s="73"/>
      <c r="I78" s="16" t="s">
        <v>33</v>
      </c>
      <c r="J78" s="6" t="str">
        <f>IF(AND(H76="Si"),((J76/J77)),"NA")</f>
        <v>NA</v>
      </c>
      <c r="K78" s="104"/>
      <c r="L78" s="72"/>
      <c r="M78" s="77"/>
      <c r="N78" s="79"/>
      <c r="O78" s="86"/>
      <c r="P78" s="149"/>
    </row>
    <row r="79" spans="2:16" ht="34.5" customHeight="1" thickBot="1" x14ac:dyDescent="0.25">
      <c r="B79" s="119"/>
      <c r="C79" s="92"/>
      <c r="D79" s="80" t="s">
        <v>248</v>
      </c>
      <c r="E79" s="80" t="s">
        <v>288</v>
      </c>
      <c r="F79" s="101">
        <v>1</v>
      </c>
      <c r="G79" s="82"/>
      <c r="H79" s="71" t="s">
        <v>262</v>
      </c>
      <c r="I79" s="13" t="s">
        <v>48</v>
      </c>
      <c r="J79" s="26"/>
      <c r="K79" s="104" t="str">
        <f>IF((J81="NA"),"NA",((J81*10)))</f>
        <v>NA</v>
      </c>
      <c r="L79" s="72"/>
      <c r="M79" s="77"/>
      <c r="N79" s="79"/>
      <c r="O79" s="86"/>
      <c r="P79" s="149"/>
    </row>
    <row r="80" spans="2:16" ht="34.5" customHeight="1" thickBot="1" x14ac:dyDescent="0.25">
      <c r="B80" s="119"/>
      <c r="C80" s="92"/>
      <c r="D80" s="92"/>
      <c r="E80" s="79"/>
      <c r="F80" s="83"/>
      <c r="G80" s="84"/>
      <c r="H80" s="72"/>
      <c r="I80" s="15" t="s">
        <v>47</v>
      </c>
      <c r="J80" s="27"/>
      <c r="K80" s="104"/>
      <c r="L80" s="72"/>
      <c r="M80" s="77"/>
      <c r="N80" s="79"/>
      <c r="O80" s="86"/>
      <c r="P80" s="149"/>
    </row>
    <row r="81" spans="2:18" ht="34.5" customHeight="1" thickBot="1" x14ac:dyDescent="0.25">
      <c r="B81" s="119"/>
      <c r="C81" s="93"/>
      <c r="D81" s="93"/>
      <c r="E81" s="75"/>
      <c r="F81" s="102"/>
      <c r="G81" s="103"/>
      <c r="H81" s="73"/>
      <c r="I81" s="16" t="s">
        <v>33</v>
      </c>
      <c r="J81" s="6" t="str">
        <f>IF(AND(H79="Si"),(J79/J80),"NA")</f>
        <v>NA</v>
      </c>
      <c r="K81" s="104"/>
      <c r="L81" s="72"/>
      <c r="M81" s="77"/>
      <c r="N81" s="79"/>
      <c r="O81" s="86"/>
      <c r="P81" s="149"/>
    </row>
    <row r="82" spans="2:18" ht="34.5" customHeight="1" thickBot="1" x14ac:dyDescent="0.25">
      <c r="B82" s="119"/>
      <c r="C82" s="92" t="s">
        <v>44</v>
      </c>
      <c r="D82" s="80" t="s">
        <v>249</v>
      </c>
      <c r="E82" s="80" t="s">
        <v>90</v>
      </c>
      <c r="F82" s="101">
        <v>1</v>
      </c>
      <c r="G82" s="82"/>
      <c r="H82" s="71" t="s">
        <v>261</v>
      </c>
      <c r="I82" s="13" t="s">
        <v>48</v>
      </c>
      <c r="J82" s="26">
        <v>8</v>
      </c>
      <c r="K82" s="104">
        <f>IF((J84="NA"),"NA",((J84*10)))</f>
        <v>0.73394495412844041</v>
      </c>
      <c r="L82" s="72"/>
      <c r="M82" s="77"/>
      <c r="N82" s="79"/>
      <c r="O82" s="86"/>
      <c r="P82" s="149"/>
      <c r="Q82" s="151" t="str">
        <f>IF(N163=100%," ","ERROR:
Revisar la columna PORCENTAJE DE IMPORTANCIA, los valores que fueron ingresados en las distintas celdas no deben sobrepasar el 100%")</f>
        <v xml:space="preserve"> </v>
      </c>
      <c r="R82" s="152"/>
    </row>
    <row r="83" spans="2:18" ht="34.5" customHeight="1" thickBot="1" x14ac:dyDescent="0.25">
      <c r="B83" s="119"/>
      <c r="C83" s="92"/>
      <c r="D83" s="92"/>
      <c r="E83" s="79"/>
      <c r="F83" s="83"/>
      <c r="G83" s="84"/>
      <c r="H83" s="72"/>
      <c r="I83" s="15" t="s">
        <v>47</v>
      </c>
      <c r="J83" s="27">
        <v>109</v>
      </c>
      <c r="K83" s="104"/>
      <c r="L83" s="72"/>
      <c r="M83" s="77"/>
      <c r="N83" s="79"/>
      <c r="O83" s="86"/>
      <c r="P83" s="149"/>
      <c r="Q83" s="151"/>
      <c r="R83" s="152"/>
    </row>
    <row r="84" spans="2:18" ht="34.5" customHeight="1" thickBot="1" x14ac:dyDescent="0.25">
      <c r="B84" s="119"/>
      <c r="C84" s="92"/>
      <c r="D84" s="93"/>
      <c r="E84" s="75"/>
      <c r="F84" s="102"/>
      <c r="G84" s="103"/>
      <c r="H84" s="73"/>
      <c r="I84" s="16" t="s">
        <v>33</v>
      </c>
      <c r="J84" s="6">
        <f>IF(AND(H82="Si"),(J82/J83),"NA")</f>
        <v>7.3394495412844041E-2</v>
      </c>
      <c r="K84" s="104"/>
      <c r="L84" s="72"/>
      <c r="M84" s="77"/>
      <c r="N84" s="79"/>
      <c r="O84" s="86"/>
      <c r="P84" s="149"/>
      <c r="Q84" s="151"/>
      <c r="R84" s="152"/>
    </row>
    <row r="85" spans="2:18" ht="34.5" customHeight="1" thickBot="1" x14ac:dyDescent="0.25">
      <c r="B85" s="119"/>
      <c r="C85" s="92"/>
      <c r="D85" s="80" t="s">
        <v>250</v>
      </c>
      <c r="E85" s="80" t="s">
        <v>275</v>
      </c>
      <c r="F85" s="101">
        <v>1</v>
      </c>
      <c r="G85" s="82"/>
      <c r="H85" s="71" t="s">
        <v>262</v>
      </c>
      <c r="I85" s="13" t="s">
        <v>48</v>
      </c>
      <c r="J85" s="26"/>
      <c r="K85" s="104" t="str">
        <f>IF((J87="NA"),"NA",((J87*10)))</f>
        <v>NA</v>
      </c>
      <c r="L85" s="72"/>
      <c r="M85" s="77"/>
      <c r="N85" s="79"/>
      <c r="O85" s="86"/>
      <c r="P85" s="149"/>
    </row>
    <row r="86" spans="2:18" ht="34.5" customHeight="1" thickBot="1" x14ac:dyDescent="0.25">
      <c r="B86" s="119"/>
      <c r="C86" s="92"/>
      <c r="D86" s="92"/>
      <c r="E86" s="79"/>
      <c r="F86" s="83"/>
      <c r="G86" s="84"/>
      <c r="H86" s="72"/>
      <c r="I86" s="15" t="s">
        <v>47</v>
      </c>
      <c r="J86" s="27"/>
      <c r="K86" s="104"/>
      <c r="L86" s="72"/>
      <c r="M86" s="77"/>
      <c r="N86" s="79"/>
      <c r="O86" s="86"/>
      <c r="P86" s="149"/>
    </row>
    <row r="87" spans="2:18" ht="44.25" customHeight="1" thickBot="1" x14ac:dyDescent="0.25">
      <c r="B87" s="119"/>
      <c r="C87" s="93"/>
      <c r="D87" s="93"/>
      <c r="E87" s="75"/>
      <c r="F87" s="102"/>
      <c r="G87" s="103"/>
      <c r="H87" s="73"/>
      <c r="I87" s="16" t="s">
        <v>33</v>
      </c>
      <c r="J87" s="6" t="str">
        <f>IF(AND(H85="Si"),(J85/J86),"NA")</f>
        <v>NA</v>
      </c>
      <c r="K87" s="104"/>
      <c r="L87" s="72"/>
      <c r="M87" s="77"/>
      <c r="N87" s="79"/>
      <c r="O87" s="86"/>
      <c r="P87" s="149"/>
    </row>
    <row r="88" spans="2:18" ht="34.5" customHeight="1" thickBot="1" x14ac:dyDescent="0.25">
      <c r="B88" s="119"/>
      <c r="C88" s="80" t="s">
        <v>91</v>
      </c>
      <c r="D88" s="80" t="s">
        <v>251</v>
      </c>
      <c r="E88" s="80" t="s">
        <v>93</v>
      </c>
      <c r="F88" s="101">
        <v>1</v>
      </c>
      <c r="G88" s="82"/>
      <c r="H88" s="71" t="s">
        <v>262</v>
      </c>
      <c r="I88" s="13" t="s">
        <v>48</v>
      </c>
      <c r="J88" s="26"/>
      <c r="K88" s="104" t="str">
        <f>IF((J90="NA"),"NA",((J90*10)))</f>
        <v>NA</v>
      </c>
      <c r="L88" s="72"/>
      <c r="M88" s="77"/>
      <c r="N88" s="79"/>
      <c r="O88" s="86"/>
      <c r="P88" s="149"/>
    </row>
    <row r="89" spans="2:18" ht="34.5" customHeight="1" thickBot="1" x14ac:dyDescent="0.25">
      <c r="B89" s="119"/>
      <c r="C89" s="92"/>
      <c r="D89" s="92"/>
      <c r="E89" s="79"/>
      <c r="F89" s="83"/>
      <c r="G89" s="84"/>
      <c r="H89" s="72"/>
      <c r="I89" s="15" t="s">
        <v>47</v>
      </c>
      <c r="J89" s="27"/>
      <c r="K89" s="104"/>
      <c r="L89" s="72"/>
      <c r="M89" s="77"/>
      <c r="N89" s="79"/>
      <c r="O89" s="86"/>
      <c r="P89" s="149"/>
    </row>
    <row r="90" spans="2:18" ht="34.5" customHeight="1" thickBot="1" x14ac:dyDescent="0.25">
      <c r="B90" s="119"/>
      <c r="C90" s="93"/>
      <c r="D90" s="93"/>
      <c r="E90" s="75"/>
      <c r="F90" s="102"/>
      <c r="G90" s="103"/>
      <c r="H90" s="73"/>
      <c r="I90" s="16" t="s">
        <v>33</v>
      </c>
      <c r="J90" s="6" t="str">
        <f>IF(AND(H88="Si"),(J88/J89),"NA")</f>
        <v>NA</v>
      </c>
      <c r="K90" s="104"/>
      <c r="L90" s="72"/>
      <c r="M90" s="77"/>
      <c r="N90" s="79"/>
      <c r="O90" s="86"/>
      <c r="P90" s="149"/>
    </row>
    <row r="91" spans="2:18" ht="34.5" customHeight="1" thickBot="1" x14ac:dyDescent="0.25">
      <c r="B91" s="119"/>
      <c r="C91" s="80" t="s">
        <v>94</v>
      </c>
      <c r="D91" s="80" t="s">
        <v>95</v>
      </c>
      <c r="E91" s="80" t="s">
        <v>96</v>
      </c>
      <c r="F91" s="101">
        <v>1</v>
      </c>
      <c r="G91" s="82"/>
      <c r="H91" s="71" t="s">
        <v>262</v>
      </c>
      <c r="I91" s="13" t="s">
        <v>48</v>
      </c>
      <c r="J91" s="26"/>
      <c r="K91" s="104" t="str">
        <f>IF((J93="NA"),"NA",((J93*10)))</f>
        <v>NA</v>
      </c>
      <c r="L91" s="72"/>
      <c r="M91" s="77"/>
      <c r="N91" s="79"/>
      <c r="O91" s="86"/>
      <c r="P91" s="149"/>
    </row>
    <row r="92" spans="2:18" ht="34.5" customHeight="1" thickBot="1" x14ac:dyDescent="0.25">
      <c r="B92" s="119"/>
      <c r="C92" s="92"/>
      <c r="D92" s="92"/>
      <c r="E92" s="79"/>
      <c r="F92" s="83"/>
      <c r="G92" s="84"/>
      <c r="H92" s="72"/>
      <c r="I92" s="15" t="s">
        <v>47</v>
      </c>
      <c r="J92" s="27"/>
      <c r="K92" s="104"/>
      <c r="L92" s="72"/>
      <c r="M92" s="77"/>
      <c r="N92" s="79"/>
      <c r="O92" s="86"/>
      <c r="P92" s="149"/>
    </row>
    <row r="93" spans="2:18" ht="34.5" customHeight="1" thickBot="1" x14ac:dyDescent="0.25">
      <c r="B93" s="120"/>
      <c r="C93" s="93"/>
      <c r="D93" s="93"/>
      <c r="E93" s="75"/>
      <c r="F93" s="102"/>
      <c r="G93" s="103"/>
      <c r="H93" s="73"/>
      <c r="I93" s="16" t="s">
        <v>33</v>
      </c>
      <c r="J93" s="6" t="str">
        <f>IF(AND(H91="Si"),(J91/J92),"NA")</f>
        <v>NA</v>
      </c>
      <c r="K93" s="104"/>
      <c r="L93" s="73"/>
      <c r="M93" s="78"/>
      <c r="N93" s="75"/>
      <c r="O93" s="100"/>
      <c r="P93" s="149"/>
    </row>
    <row r="94" spans="2:18" ht="5.25" customHeight="1" thickBot="1" x14ac:dyDescent="0.25">
      <c r="B94" s="96"/>
      <c r="C94" s="97"/>
      <c r="D94" s="97"/>
      <c r="E94" s="97"/>
      <c r="F94" s="97"/>
      <c r="G94" s="97"/>
      <c r="H94" s="97"/>
      <c r="I94" s="97"/>
      <c r="J94" s="97"/>
      <c r="K94" s="97"/>
      <c r="L94" s="97"/>
      <c r="M94" s="97"/>
      <c r="N94" s="97"/>
      <c r="O94" s="98"/>
      <c r="P94" s="149"/>
    </row>
    <row r="95" spans="2:18" ht="30.75" customHeight="1" thickBot="1" x14ac:dyDescent="0.25">
      <c r="B95" s="117" t="s">
        <v>7</v>
      </c>
      <c r="C95" s="80" t="s">
        <v>97</v>
      </c>
      <c r="D95" s="80" t="s">
        <v>98</v>
      </c>
      <c r="E95" s="80" t="s">
        <v>99</v>
      </c>
      <c r="F95" s="101">
        <v>1</v>
      </c>
      <c r="G95" s="82"/>
      <c r="H95" s="71" t="s">
        <v>262</v>
      </c>
      <c r="I95" s="13" t="s">
        <v>48</v>
      </c>
      <c r="J95" s="26"/>
      <c r="K95" s="104" t="str">
        <f>IF((J97="NA"),"NA",((J97*10)))</f>
        <v>NA</v>
      </c>
      <c r="L95" s="85">
        <f>IF(AND(H95="No",H98="No",H101="No",H104="No",H107="No",H110="No"),0,AVERAGE(K95:K111))</f>
        <v>1.6666666666666665</v>
      </c>
      <c r="M95" s="76" t="s">
        <v>223</v>
      </c>
      <c r="N95" s="99">
        <v>0.1</v>
      </c>
      <c r="O95" s="85">
        <f>L95*N95</f>
        <v>0.16666666666666666</v>
      </c>
      <c r="P95" s="149"/>
    </row>
    <row r="96" spans="2:18" ht="32.25" customHeight="1" thickBot="1" x14ac:dyDescent="0.25">
      <c r="B96" s="117"/>
      <c r="C96" s="92"/>
      <c r="D96" s="92"/>
      <c r="E96" s="79"/>
      <c r="F96" s="83"/>
      <c r="G96" s="84"/>
      <c r="H96" s="72"/>
      <c r="I96" s="15" t="s">
        <v>47</v>
      </c>
      <c r="J96" s="27"/>
      <c r="K96" s="104"/>
      <c r="L96" s="72"/>
      <c r="M96" s="77"/>
      <c r="N96" s="79"/>
      <c r="O96" s="86"/>
      <c r="P96" s="149"/>
    </row>
    <row r="97" spans="2:16" ht="33" customHeight="1" thickBot="1" x14ac:dyDescent="0.25">
      <c r="B97" s="117"/>
      <c r="C97" s="92"/>
      <c r="D97" s="93"/>
      <c r="E97" s="75"/>
      <c r="F97" s="102"/>
      <c r="G97" s="103"/>
      <c r="H97" s="73"/>
      <c r="I97" s="16" t="s">
        <v>33</v>
      </c>
      <c r="J97" s="6" t="str">
        <f>IF(AND(H95="Si"),(J95/J96),"NA")</f>
        <v>NA</v>
      </c>
      <c r="K97" s="104"/>
      <c r="L97" s="72"/>
      <c r="M97" s="77"/>
      <c r="N97" s="79"/>
      <c r="O97" s="86"/>
      <c r="P97" s="149"/>
    </row>
    <row r="98" spans="2:16" ht="40.5" customHeight="1" thickBot="1" x14ac:dyDescent="0.25">
      <c r="B98" s="117"/>
      <c r="C98" s="92"/>
      <c r="D98" s="80" t="s">
        <v>100</v>
      </c>
      <c r="E98" s="80" t="s">
        <v>101</v>
      </c>
      <c r="F98" s="101">
        <v>1</v>
      </c>
      <c r="G98" s="82"/>
      <c r="H98" s="71" t="s">
        <v>262</v>
      </c>
      <c r="I98" s="13" t="s">
        <v>48</v>
      </c>
      <c r="J98" s="26"/>
      <c r="K98" s="136" t="str">
        <f>IF((J100="NA"),"NA",((J100*10)))</f>
        <v>NA</v>
      </c>
      <c r="L98" s="72"/>
      <c r="M98" s="77"/>
      <c r="N98" s="79"/>
      <c r="O98" s="86"/>
      <c r="P98" s="149"/>
    </row>
    <row r="99" spans="2:16" ht="36.75" customHeight="1" thickBot="1" x14ac:dyDescent="0.25">
      <c r="B99" s="117"/>
      <c r="C99" s="92"/>
      <c r="D99" s="92"/>
      <c r="E99" s="79"/>
      <c r="F99" s="83"/>
      <c r="G99" s="84"/>
      <c r="H99" s="72"/>
      <c r="I99" s="15" t="s">
        <v>47</v>
      </c>
      <c r="J99" s="27"/>
      <c r="K99" s="137"/>
      <c r="L99" s="72"/>
      <c r="M99" s="77"/>
      <c r="N99" s="79"/>
      <c r="O99" s="86"/>
      <c r="P99" s="149"/>
    </row>
    <row r="100" spans="2:16" ht="43.5" customHeight="1" thickBot="1" x14ac:dyDescent="0.25">
      <c r="B100" s="117"/>
      <c r="C100" s="93"/>
      <c r="D100" s="93"/>
      <c r="E100" s="75"/>
      <c r="F100" s="102"/>
      <c r="G100" s="103"/>
      <c r="H100" s="73"/>
      <c r="I100" s="16" t="s">
        <v>33</v>
      </c>
      <c r="J100" s="6" t="str">
        <f>IF(AND(H98="Si"),(J98/J99),"NA")</f>
        <v>NA</v>
      </c>
      <c r="K100" s="138"/>
      <c r="L100" s="72"/>
      <c r="M100" s="77"/>
      <c r="N100" s="79"/>
      <c r="O100" s="86"/>
      <c r="P100" s="149"/>
    </row>
    <row r="101" spans="2:16" ht="33" customHeight="1" thickBot="1" x14ac:dyDescent="0.25">
      <c r="B101" s="117"/>
      <c r="C101" s="80" t="s">
        <v>103</v>
      </c>
      <c r="D101" s="80" t="s">
        <v>102</v>
      </c>
      <c r="E101" s="80" t="s">
        <v>104</v>
      </c>
      <c r="F101" s="101">
        <v>0</v>
      </c>
      <c r="G101" s="82"/>
      <c r="H101" s="71" t="s">
        <v>262</v>
      </c>
      <c r="I101" s="13" t="s">
        <v>48</v>
      </c>
      <c r="J101" s="26"/>
      <c r="K101" s="104" t="str">
        <f>IF((J103="NA"),"NA",(((1-J103)*10)))</f>
        <v>NA</v>
      </c>
      <c r="L101" s="72"/>
      <c r="M101" s="77"/>
      <c r="N101" s="79"/>
      <c r="O101" s="86"/>
      <c r="P101" s="149"/>
    </row>
    <row r="102" spans="2:16" ht="33" customHeight="1" thickBot="1" x14ac:dyDescent="0.25">
      <c r="B102" s="117"/>
      <c r="C102" s="92"/>
      <c r="D102" s="92"/>
      <c r="E102" s="79"/>
      <c r="F102" s="83"/>
      <c r="G102" s="84"/>
      <c r="H102" s="72"/>
      <c r="I102" s="15" t="s">
        <v>47</v>
      </c>
      <c r="J102" s="27"/>
      <c r="K102" s="104"/>
      <c r="L102" s="72"/>
      <c r="M102" s="77"/>
      <c r="N102" s="79"/>
      <c r="O102" s="86"/>
      <c r="P102" s="149"/>
    </row>
    <row r="103" spans="2:16" ht="33" customHeight="1" thickBot="1" x14ac:dyDescent="0.25">
      <c r="B103" s="117"/>
      <c r="C103" s="93"/>
      <c r="D103" s="93"/>
      <c r="E103" s="75"/>
      <c r="F103" s="102"/>
      <c r="G103" s="103"/>
      <c r="H103" s="73"/>
      <c r="I103" s="16" t="s">
        <v>33</v>
      </c>
      <c r="J103" s="6" t="str">
        <f>IF(AND(H101="Si"),((J101/J102)),"NA")</f>
        <v>NA</v>
      </c>
      <c r="K103" s="104"/>
      <c r="L103" s="72"/>
      <c r="M103" s="77"/>
      <c r="N103" s="79"/>
      <c r="O103" s="86"/>
      <c r="P103" s="149"/>
    </row>
    <row r="104" spans="2:16" ht="33" customHeight="1" thickBot="1" x14ac:dyDescent="0.25">
      <c r="B104" s="117"/>
      <c r="C104" s="80" t="s">
        <v>45</v>
      </c>
      <c r="D104" s="80" t="s">
        <v>27</v>
      </c>
      <c r="E104" s="80" t="s">
        <v>105</v>
      </c>
      <c r="F104" s="101">
        <v>1</v>
      </c>
      <c r="G104" s="82"/>
      <c r="H104" s="71" t="s">
        <v>261</v>
      </c>
      <c r="I104" s="13" t="s">
        <v>48</v>
      </c>
      <c r="J104" s="26">
        <v>0</v>
      </c>
      <c r="K104" s="136">
        <f>IF((J106="NA"),"NA",((J106*10)))</f>
        <v>0</v>
      </c>
      <c r="L104" s="72"/>
      <c r="M104" s="77"/>
      <c r="N104" s="79"/>
      <c r="O104" s="86"/>
      <c r="P104" s="149"/>
    </row>
    <row r="105" spans="2:16" ht="30.75" customHeight="1" thickBot="1" x14ac:dyDescent="0.25">
      <c r="B105" s="117"/>
      <c r="C105" s="92"/>
      <c r="D105" s="92"/>
      <c r="E105" s="79"/>
      <c r="F105" s="83"/>
      <c r="G105" s="84"/>
      <c r="H105" s="72"/>
      <c r="I105" s="15" t="s">
        <v>47</v>
      </c>
      <c r="J105" s="27">
        <v>1</v>
      </c>
      <c r="K105" s="137"/>
      <c r="L105" s="72"/>
      <c r="M105" s="77"/>
      <c r="N105" s="79"/>
      <c r="O105" s="86"/>
      <c r="P105" s="149"/>
    </row>
    <row r="106" spans="2:16" ht="27" customHeight="1" thickBot="1" x14ac:dyDescent="0.25">
      <c r="B106" s="117"/>
      <c r="C106" s="93"/>
      <c r="D106" s="93"/>
      <c r="E106" s="75"/>
      <c r="F106" s="102"/>
      <c r="G106" s="103"/>
      <c r="H106" s="73"/>
      <c r="I106" s="16" t="s">
        <v>33</v>
      </c>
      <c r="J106" s="6">
        <f>IF(AND(H104="Si"),(J104/J105),"NA")</f>
        <v>0</v>
      </c>
      <c r="K106" s="138"/>
      <c r="L106" s="72"/>
      <c r="M106" s="77"/>
      <c r="N106" s="79"/>
      <c r="O106" s="86"/>
      <c r="P106" s="149"/>
    </row>
    <row r="107" spans="2:16" ht="27" customHeight="1" thickBot="1" x14ac:dyDescent="0.25">
      <c r="B107" s="117"/>
      <c r="C107" s="80" t="s">
        <v>106</v>
      </c>
      <c r="D107" s="80" t="s">
        <v>107</v>
      </c>
      <c r="E107" s="143" t="s">
        <v>279</v>
      </c>
      <c r="F107" s="101">
        <v>1</v>
      </c>
      <c r="G107" s="82"/>
      <c r="H107" s="71" t="s">
        <v>262</v>
      </c>
      <c r="I107" s="13" t="s">
        <v>48</v>
      </c>
      <c r="J107" s="26"/>
      <c r="K107" s="136" t="str">
        <f>IF((J109="NA"),"NA",((J109*10)))</f>
        <v>NA</v>
      </c>
      <c r="L107" s="72"/>
      <c r="M107" s="77"/>
      <c r="N107" s="79"/>
      <c r="O107" s="86"/>
      <c r="P107" s="149"/>
    </row>
    <row r="108" spans="2:16" ht="30.75" customHeight="1" thickBot="1" x14ac:dyDescent="0.25">
      <c r="B108" s="117"/>
      <c r="C108" s="92"/>
      <c r="D108" s="92"/>
      <c r="E108" s="144"/>
      <c r="F108" s="83"/>
      <c r="G108" s="84"/>
      <c r="H108" s="72"/>
      <c r="I108" s="15" t="s">
        <v>47</v>
      </c>
      <c r="J108" s="27"/>
      <c r="K108" s="137"/>
      <c r="L108" s="72"/>
      <c r="M108" s="77"/>
      <c r="N108" s="79"/>
      <c r="O108" s="86"/>
      <c r="P108" s="149"/>
    </row>
    <row r="109" spans="2:16" ht="31.5" customHeight="1" thickBot="1" x14ac:dyDescent="0.25">
      <c r="B109" s="117"/>
      <c r="C109" s="93"/>
      <c r="D109" s="93"/>
      <c r="E109" s="145"/>
      <c r="F109" s="102"/>
      <c r="G109" s="103"/>
      <c r="H109" s="73"/>
      <c r="I109" s="16" t="s">
        <v>33</v>
      </c>
      <c r="J109" s="6" t="str">
        <f>IF(AND(H107="Si"),(J107/J108),"NA")</f>
        <v>NA</v>
      </c>
      <c r="K109" s="138"/>
      <c r="L109" s="72"/>
      <c r="M109" s="77"/>
      <c r="N109" s="79"/>
      <c r="O109" s="86"/>
      <c r="P109" s="149"/>
    </row>
    <row r="110" spans="2:16" ht="23.25" customHeight="1" thickBot="1" x14ac:dyDescent="0.25">
      <c r="B110" s="117"/>
      <c r="C110" s="89" t="s">
        <v>19</v>
      </c>
      <c r="D110" s="89" t="s">
        <v>108</v>
      </c>
      <c r="E110" s="89" t="s">
        <v>109</v>
      </c>
      <c r="F110" s="139" t="s">
        <v>265</v>
      </c>
      <c r="G110" s="140"/>
      <c r="H110" s="74" t="s">
        <v>261</v>
      </c>
      <c r="I110" s="13" t="s">
        <v>48</v>
      </c>
      <c r="J110" s="26">
        <v>1</v>
      </c>
      <c r="K110" s="85">
        <f>IF((J111="NA"),"NA",IF(J111&gt;3,10,((J111/3)*10)))</f>
        <v>3.333333333333333</v>
      </c>
      <c r="L110" s="72"/>
      <c r="M110" s="77"/>
      <c r="N110" s="79"/>
      <c r="O110" s="86"/>
      <c r="P110" s="149"/>
    </row>
    <row r="111" spans="2:16" ht="24.75" customHeight="1" thickBot="1" x14ac:dyDescent="0.25">
      <c r="B111" s="117"/>
      <c r="C111" s="94"/>
      <c r="D111" s="94"/>
      <c r="E111" s="128"/>
      <c r="F111" s="141"/>
      <c r="G111" s="142"/>
      <c r="H111" s="75"/>
      <c r="I111" s="15" t="s">
        <v>49</v>
      </c>
      <c r="J111" s="40">
        <f>IF(H110="Si",(J110),"NA")</f>
        <v>1</v>
      </c>
      <c r="K111" s="86"/>
      <c r="L111" s="73"/>
      <c r="M111" s="78"/>
      <c r="N111" s="75"/>
      <c r="O111" s="100"/>
      <c r="P111" s="149"/>
    </row>
    <row r="112" spans="2:16" ht="5.25" customHeight="1" thickBot="1" x14ac:dyDescent="0.25">
      <c r="B112" s="96"/>
      <c r="C112" s="97"/>
      <c r="D112" s="97"/>
      <c r="E112" s="97"/>
      <c r="F112" s="97"/>
      <c r="G112" s="97"/>
      <c r="H112" s="97"/>
      <c r="I112" s="97"/>
      <c r="J112" s="97"/>
      <c r="K112" s="97"/>
      <c r="L112" s="97"/>
      <c r="M112" s="97"/>
      <c r="N112" s="97"/>
      <c r="O112" s="98"/>
      <c r="P112" s="149"/>
    </row>
    <row r="113" spans="2:16" ht="30" customHeight="1" thickBot="1" x14ac:dyDescent="0.25">
      <c r="B113" s="117" t="s">
        <v>8</v>
      </c>
      <c r="C113" s="80" t="s">
        <v>20</v>
      </c>
      <c r="D113" s="80" t="s">
        <v>28</v>
      </c>
      <c r="E113" s="80" t="s">
        <v>276</v>
      </c>
      <c r="F113" s="101">
        <v>1</v>
      </c>
      <c r="G113" s="82"/>
      <c r="H113" s="71" t="s">
        <v>262</v>
      </c>
      <c r="I113" s="13" t="s">
        <v>48</v>
      </c>
      <c r="J113" s="26"/>
      <c r="K113" s="136" t="str">
        <f>IF((J115="NA"),"NA",((J115*10)))</f>
        <v>NA</v>
      </c>
      <c r="L113" s="85">
        <f>IF(AND(H113="No",H116="No",H119="No"),0,AVERAGE(K113:K121))</f>
        <v>10</v>
      </c>
      <c r="M113" s="76" t="s">
        <v>224</v>
      </c>
      <c r="N113" s="99">
        <v>0.05</v>
      </c>
      <c r="O113" s="71">
        <f>L113*N113</f>
        <v>0.5</v>
      </c>
      <c r="P113" s="149"/>
    </row>
    <row r="114" spans="2:16" ht="28.5" customHeight="1" thickBot="1" x14ac:dyDescent="0.25">
      <c r="B114" s="117"/>
      <c r="C114" s="92"/>
      <c r="D114" s="92"/>
      <c r="E114" s="79"/>
      <c r="F114" s="83"/>
      <c r="G114" s="84"/>
      <c r="H114" s="72"/>
      <c r="I114" s="15" t="s">
        <v>47</v>
      </c>
      <c r="J114" s="27"/>
      <c r="K114" s="137"/>
      <c r="L114" s="72"/>
      <c r="M114" s="77"/>
      <c r="N114" s="79"/>
      <c r="O114" s="72"/>
      <c r="P114" s="149"/>
    </row>
    <row r="115" spans="2:16" ht="30.75" customHeight="1" thickBot="1" x14ac:dyDescent="0.25">
      <c r="B115" s="117"/>
      <c r="C115" s="93"/>
      <c r="D115" s="93"/>
      <c r="E115" s="75"/>
      <c r="F115" s="102"/>
      <c r="G115" s="103"/>
      <c r="H115" s="73"/>
      <c r="I115" s="16" t="s">
        <v>33</v>
      </c>
      <c r="J115" s="6" t="str">
        <f>IF(AND(H113="Si"),(J113/J114),"NA")</f>
        <v>NA</v>
      </c>
      <c r="K115" s="138"/>
      <c r="L115" s="72"/>
      <c r="M115" s="77"/>
      <c r="N115" s="79"/>
      <c r="O115" s="72"/>
      <c r="P115" s="149"/>
    </row>
    <row r="116" spans="2:16" ht="26.25" customHeight="1" thickBot="1" x14ac:dyDescent="0.25">
      <c r="B116" s="117"/>
      <c r="C116" s="80" t="s">
        <v>29</v>
      </c>
      <c r="D116" s="80" t="s">
        <v>110</v>
      </c>
      <c r="E116" s="80" t="s">
        <v>111</v>
      </c>
      <c r="F116" s="101">
        <v>1</v>
      </c>
      <c r="G116" s="82"/>
      <c r="H116" s="71" t="s">
        <v>262</v>
      </c>
      <c r="I116" s="13" t="s">
        <v>48</v>
      </c>
      <c r="J116" s="26"/>
      <c r="K116" s="136" t="str">
        <f>IF((J118="NA"),"NA",((J118*10)))</f>
        <v>NA</v>
      </c>
      <c r="L116" s="72"/>
      <c r="M116" s="77"/>
      <c r="N116" s="79"/>
      <c r="O116" s="72"/>
      <c r="P116" s="149"/>
    </row>
    <row r="117" spans="2:16" ht="26.25" customHeight="1" thickBot="1" x14ac:dyDescent="0.25">
      <c r="B117" s="117"/>
      <c r="C117" s="92"/>
      <c r="D117" s="92"/>
      <c r="E117" s="79"/>
      <c r="F117" s="83"/>
      <c r="G117" s="84"/>
      <c r="H117" s="72"/>
      <c r="I117" s="15" t="s">
        <v>47</v>
      </c>
      <c r="J117" s="27"/>
      <c r="K117" s="137"/>
      <c r="L117" s="72"/>
      <c r="M117" s="77"/>
      <c r="N117" s="79"/>
      <c r="O117" s="72"/>
      <c r="P117" s="149"/>
    </row>
    <row r="118" spans="2:16" ht="30.75" customHeight="1" thickBot="1" x14ac:dyDescent="0.25">
      <c r="B118" s="117"/>
      <c r="C118" s="92"/>
      <c r="D118" s="93"/>
      <c r="E118" s="75"/>
      <c r="F118" s="102"/>
      <c r="G118" s="103"/>
      <c r="H118" s="73"/>
      <c r="I118" s="16" t="s">
        <v>33</v>
      </c>
      <c r="J118" s="6" t="str">
        <f>IF(AND(H116="Si"),(J116/J117),"NA")</f>
        <v>NA</v>
      </c>
      <c r="K118" s="138"/>
      <c r="L118" s="72"/>
      <c r="M118" s="77"/>
      <c r="N118" s="79"/>
      <c r="O118" s="72"/>
      <c r="P118" s="149"/>
    </row>
    <row r="119" spans="2:16" ht="35.25" customHeight="1" thickBot="1" x14ac:dyDescent="0.25">
      <c r="B119" s="117"/>
      <c r="C119" s="92"/>
      <c r="D119" s="80" t="s">
        <v>112</v>
      </c>
      <c r="E119" s="80" t="s">
        <v>113</v>
      </c>
      <c r="F119" s="101">
        <v>1</v>
      </c>
      <c r="G119" s="82"/>
      <c r="H119" s="71" t="s">
        <v>261</v>
      </c>
      <c r="I119" s="13" t="s">
        <v>48</v>
      </c>
      <c r="J119" s="26">
        <v>4</v>
      </c>
      <c r="K119" s="136">
        <f>IF((J121="NA"),"NA",((J121*10)))</f>
        <v>10</v>
      </c>
      <c r="L119" s="72"/>
      <c r="M119" s="77"/>
      <c r="N119" s="79"/>
      <c r="O119" s="72"/>
      <c r="P119" s="149"/>
    </row>
    <row r="120" spans="2:16" ht="32.25" customHeight="1" thickBot="1" x14ac:dyDescent="0.25">
      <c r="B120" s="117"/>
      <c r="C120" s="92"/>
      <c r="D120" s="92"/>
      <c r="E120" s="79"/>
      <c r="F120" s="83"/>
      <c r="G120" s="84"/>
      <c r="H120" s="72"/>
      <c r="I120" s="15" t="s">
        <v>47</v>
      </c>
      <c r="J120" s="27">
        <v>4</v>
      </c>
      <c r="K120" s="137"/>
      <c r="L120" s="72"/>
      <c r="M120" s="77"/>
      <c r="N120" s="79"/>
      <c r="O120" s="72"/>
      <c r="P120" s="149"/>
    </row>
    <row r="121" spans="2:16" ht="36" customHeight="1" thickBot="1" x14ac:dyDescent="0.25">
      <c r="B121" s="117"/>
      <c r="C121" s="93"/>
      <c r="D121" s="93"/>
      <c r="E121" s="75"/>
      <c r="F121" s="102"/>
      <c r="G121" s="103"/>
      <c r="H121" s="73"/>
      <c r="I121" s="16" t="s">
        <v>33</v>
      </c>
      <c r="J121" s="6">
        <f>IF(AND(H119="Si"),(J119/J120),"NA")</f>
        <v>1</v>
      </c>
      <c r="K121" s="138"/>
      <c r="L121" s="73"/>
      <c r="M121" s="78"/>
      <c r="N121" s="75"/>
      <c r="O121" s="73"/>
      <c r="P121" s="149"/>
    </row>
    <row r="122" spans="2:16" ht="5.25" customHeight="1" thickBot="1" x14ac:dyDescent="0.25">
      <c r="B122" s="96"/>
      <c r="C122" s="97"/>
      <c r="D122" s="97"/>
      <c r="E122" s="97"/>
      <c r="F122" s="97"/>
      <c r="G122" s="97"/>
      <c r="H122" s="97"/>
      <c r="I122" s="97"/>
      <c r="J122" s="97"/>
      <c r="K122" s="97"/>
      <c r="L122" s="97"/>
      <c r="M122" s="97"/>
      <c r="N122" s="97"/>
      <c r="O122" s="98"/>
      <c r="P122" s="149"/>
    </row>
    <row r="123" spans="2:16" ht="30.75" customHeight="1" thickBot="1" x14ac:dyDescent="0.25">
      <c r="B123" s="117" t="s">
        <v>9</v>
      </c>
      <c r="C123" s="80" t="s">
        <v>30</v>
      </c>
      <c r="D123" s="89" t="s">
        <v>114</v>
      </c>
      <c r="E123" s="80" t="s">
        <v>289</v>
      </c>
      <c r="F123" s="101">
        <v>0</v>
      </c>
      <c r="G123" s="82"/>
      <c r="H123" s="71" t="s">
        <v>261</v>
      </c>
      <c r="I123" s="13" t="s">
        <v>48</v>
      </c>
      <c r="J123" s="26">
        <v>0</v>
      </c>
      <c r="K123" s="104">
        <f>IF((J125="NA"),"NA",(((1-J125)*10)))</f>
        <v>10</v>
      </c>
      <c r="L123" s="85">
        <f>IF(AND(H123="No",H126="No",H128="No",H131="No",H134="No",H137="No",H139="No",H141="No",H144="No",H147="No"),0,AVERAGE(K123:K149))</f>
        <v>6.916666666666667</v>
      </c>
      <c r="M123" s="76" t="s">
        <v>257</v>
      </c>
      <c r="N123" s="99">
        <v>0.25</v>
      </c>
      <c r="O123" s="85">
        <f>L123*N123</f>
        <v>1.7291666666666667</v>
      </c>
      <c r="P123" s="149"/>
    </row>
    <row r="124" spans="2:16" ht="35.25" customHeight="1" thickBot="1" x14ac:dyDescent="0.25">
      <c r="B124" s="117"/>
      <c r="C124" s="92"/>
      <c r="D124" s="94"/>
      <c r="E124" s="79"/>
      <c r="F124" s="83"/>
      <c r="G124" s="84"/>
      <c r="H124" s="72"/>
      <c r="I124" s="15" t="s">
        <v>47</v>
      </c>
      <c r="J124" s="27">
        <v>4</v>
      </c>
      <c r="K124" s="104"/>
      <c r="L124" s="72"/>
      <c r="M124" s="77"/>
      <c r="N124" s="79"/>
      <c r="O124" s="86"/>
      <c r="P124" s="149"/>
    </row>
    <row r="125" spans="2:16" ht="41.25" customHeight="1" thickBot="1" x14ac:dyDescent="0.25">
      <c r="B125" s="117"/>
      <c r="C125" s="92"/>
      <c r="D125" s="95"/>
      <c r="E125" s="75"/>
      <c r="F125" s="102"/>
      <c r="G125" s="103"/>
      <c r="H125" s="73"/>
      <c r="I125" s="16" t="s">
        <v>33</v>
      </c>
      <c r="J125" s="6">
        <f>IF(AND(H123="Si"),((J123/J124)),"NA")</f>
        <v>0</v>
      </c>
      <c r="K125" s="104"/>
      <c r="L125" s="72"/>
      <c r="M125" s="77"/>
      <c r="N125" s="79"/>
      <c r="O125" s="86"/>
      <c r="P125" s="149"/>
    </row>
    <row r="126" spans="2:16" ht="30.75" customHeight="1" thickBot="1" x14ac:dyDescent="0.25">
      <c r="B126" s="117"/>
      <c r="C126" s="92"/>
      <c r="D126" s="89" t="s">
        <v>115</v>
      </c>
      <c r="E126" s="89" t="s">
        <v>116</v>
      </c>
      <c r="F126" s="139" t="s">
        <v>228</v>
      </c>
      <c r="G126" s="140"/>
      <c r="H126" s="74" t="s">
        <v>261</v>
      </c>
      <c r="I126" s="13" t="s">
        <v>48</v>
      </c>
      <c r="J126" s="26">
        <v>2</v>
      </c>
      <c r="K126" s="85">
        <f>IF((J127="NA"),"NA",IF(J127&gt;4,0,IF(J127=1,10,((1-(J127/4))*10))))</f>
        <v>5</v>
      </c>
      <c r="L126" s="72"/>
      <c r="M126" s="77"/>
      <c r="N126" s="79"/>
      <c r="O126" s="86"/>
      <c r="P126" s="149"/>
    </row>
    <row r="127" spans="2:16" ht="30.75" customHeight="1" thickBot="1" x14ac:dyDescent="0.25">
      <c r="B127" s="117"/>
      <c r="C127" s="93"/>
      <c r="D127" s="95"/>
      <c r="E127" s="95"/>
      <c r="F127" s="146"/>
      <c r="G127" s="147"/>
      <c r="H127" s="75"/>
      <c r="I127" s="15" t="s">
        <v>49</v>
      </c>
      <c r="J127" s="40">
        <f>IF(H126="Si",(J126),"NA")</f>
        <v>2</v>
      </c>
      <c r="K127" s="86"/>
      <c r="L127" s="72"/>
      <c r="M127" s="77"/>
      <c r="N127" s="79"/>
      <c r="O127" s="86"/>
      <c r="P127" s="149"/>
    </row>
    <row r="128" spans="2:16" ht="30.75" customHeight="1" thickBot="1" x14ac:dyDescent="0.25">
      <c r="B128" s="117"/>
      <c r="C128" s="80" t="s">
        <v>21</v>
      </c>
      <c r="D128" s="89" t="s">
        <v>117</v>
      </c>
      <c r="E128" s="89" t="s">
        <v>118</v>
      </c>
      <c r="F128" s="101">
        <v>1</v>
      </c>
      <c r="G128" s="82"/>
      <c r="H128" s="71" t="s">
        <v>261</v>
      </c>
      <c r="I128" s="13" t="s">
        <v>48</v>
      </c>
      <c r="J128" s="26">
        <v>7</v>
      </c>
      <c r="K128" s="136">
        <f>IF((J130="NA"),"NA",((J130*10)))</f>
        <v>10</v>
      </c>
      <c r="L128" s="72"/>
      <c r="M128" s="77"/>
      <c r="N128" s="79"/>
      <c r="O128" s="86"/>
      <c r="P128" s="149"/>
    </row>
    <row r="129" spans="2:16" ht="30.75" customHeight="1" thickBot="1" x14ac:dyDescent="0.25">
      <c r="B129" s="117"/>
      <c r="C129" s="92"/>
      <c r="D129" s="94"/>
      <c r="E129" s="94"/>
      <c r="F129" s="83"/>
      <c r="G129" s="84"/>
      <c r="H129" s="72"/>
      <c r="I129" s="15" t="s">
        <v>47</v>
      </c>
      <c r="J129" s="27">
        <v>7</v>
      </c>
      <c r="K129" s="137"/>
      <c r="L129" s="72"/>
      <c r="M129" s="77"/>
      <c r="N129" s="79"/>
      <c r="O129" s="86"/>
      <c r="P129" s="149"/>
    </row>
    <row r="130" spans="2:16" ht="30.75" customHeight="1" thickBot="1" x14ac:dyDescent="0.25">
      <c r="B130" s="117"/>
      <c r="C130" s="93"/>
      <c r="D130" s="95"/>
      <c r="E130" s="95"/>
      <c r="F130" s="102"/>
      <c r="G130" s="103"/>
      <c r="H130" s="73"/>
      <c r="I130" s="16" t="s">
        <v>33</v>
      </c>
      <c r="J130" s="6">
        <f>IF(AND(H128="Si"),(J128/J129),"NA")</f>
        <v>1</v>
      </c>
      <c r="K130" s="138"/>
      <c r="L130" s="72"/>
      <c r="M130" s="77"/>
      <c r="N130" s="79"/>
      <c r="O130" s="86"/>
      <c r="P130" s="149"/>
    </row>
    <row r="131" spans="2:16" ht="30" customHeight="1" thickBot="1" x14ac:dyDescent="0.25">
      <c r="B131" s="117"/>
      <c r="C131" s="80" t="s">
        <v>31</v>
      </c>
      <c r="D131" s="80" t="s">
        <v>120</v>
      </c>
      <c r="E131" s="80" t="s">
        <v>277</v>
      </c>
      <c r="F131" s="101">
        <v>1</v>
      </c>
      <c r="G131" s="82"/>
      <c r="H131" s="71" t="s">
        <v>261</v>
      </c>
      <c r="I131" s="13" t="s">
        <v>48</v>
      </c>
      <c r="J131" s="26">
        <v>20</v>
      </c>
      <c r="K131" s="136">
        <f>IF((J133="NA"),"NA",((J133*10)))</f>
        <v>10</v>
      </c>
      <c r="L131" s="72"/>
      <c r="M131" s="77"/>
      <c r="N131" s="79"/>
      <c r="O131" s="86"/>
      <c r="P131" s="149"/>
    </row>
    <row r="132" spans="2:16" ht="36" customHeight="1" thickBot="1" x14ac:dyDescent="0.25">
      <c r="B132" s="117"/>
      <c r="C132" s="92"/>
      <c r="D132" s="92"/>
      <c r="E132" s="79"/>
      <c r="F132" s="83"/>
      <c r="G132" s="84"/>
      <c r="H132" s="72"/>
      <c r="I132" s="15" t="s">
        <v>47</v>
      </c>
      <c r="J132" s="27">
        <v>20</v>
      </c>
      <c r="K132" s="137"/>
      <c r="L132" s="72"/>
      <c r="M132" s="77"/>
      <c r="N132" s="79"/>
      <c r="O132" s="86"/>
      <c r="P132" s="149"/>
    </row>
    <row r="133" spans="2:16" ht="37.5" customHeight="1" thickBot="1" x14ac:dyDescent="0.25">
      <c r="B133" s="117"/>
      <c r="C133" s="92"/>
      <c r="D133" s="93"/>
      <c r="E133" s="75"/>
      <c r="F133" s="102"/>
      <c r="G133" s="103"/>
      <c r="H133" s="73"/>
      <c r="I133" s="16" t="s">
        <v>33</v>
      </c>
      <c r="J133" s="6">
        <f>IF(AND(H131="Si"),(J131/J132),"NA")</f>
        <v>1</v>
      </c>
      <c r="K133" s="138"/>
      <c r="L133" s="72"/>
      <c r="M133" s="77"/>
      <c r="N133" s="79"/>
      <c r="O133" s="86"/>
      <c r="P133" s="149"/>
    </row>
    <row r="134" spans="2:16" ht="37.5" customHeight="1" thickBot="1" x14ac:dyDescent="0.25">
      <c r="B134" s="117"/>
      <c r="C134" s="92"/>
      <c r="D134" s="80" t="s">
        <v>121</v>
      </c>
      <c r="E134" s="80" t="s">
        <v>122</v>
      </c>
      <c r="F134" s="101">
        <v>1</v>
      </c>
      <c r="G134" s="82"/>
      <c r="H134" s="71" t="s">
        <v>262</v>
      </c>
      <c r="I134" s="13" t="s">
        <v>48</v>
      </c>
      <c r="J134" s="26"/>
      <c r="K134" s="136" t="str">
        <f>IF((J136="NA"),"NA",((J136*10)))</f>
        <v>NA</v>
      </c>
      <c r="L134" s="72"/>
      <c r="M134" s="77"/>
      <c r="N134" s="79"/>
      <c r="O134" s="86"/>
      <c r="P134" s="149"/>
    </row>
    <row r="135" spans="2:16" ht="37.5" customHeight="1" thickBot="1" x14ac:dyDescent="0.25">
      <c r="B135" s="117"/>
      <c r="C135" s="92"/>
      <c r="D135" s="92"/>
      <c r="E135" s="79"/>
      <c r="F135" s="83"/>
      <c r="G135" s="84"/>
      <c r="H135" s="72"/>
      <c r="I135" s="15" t="s">
        <v>47</v>
      </c>
      <c r="J135" s="27"/>
      <c r="K135" s="137"/>
      <c r="L135" s="72"/>
      <c r="M135" s="77"/>
      <c r="N135" s="79"/>
      <c r="O135" s="86"/>
      <c r="P135" s="149"/>
    </row>
    <row r="136" spans="2:16" ht="37.5" customHeight="1" thickBot="1" x14ac:dyDescent="0.25">
      <c r="B136" s="117"/>
      <c r="C136" s="93"/>
      <c r="D136" s="93"/>
      <c r="E136" s="75"/>
      <c r="F136" s="102"/>
      <c r="G136" s="103"/>
      <c r="H136" s="73"/>
      <c r="I136" s="16" t="s">
        <v>33</v>
      </c>
      <c r="J136" s="6" t="str">
        <f>IF(AND(H134="Si"),(J134/J135),"NA")</f>
        <v>NA</v>
      </c>
      <c r="K136" s="138"/>
      <c r="L136" s="72"/>
      <c r="M136" s="77"/>
      <c r="N136" s="79"/>
      <c r="O136" s="86"/>
      <c r="P136" s="149"/>
    </row>
    <row r="137" spans="2:16" ht="26.25" customHeight="1" thickBot="1" x14ac:dyDescent="0.25">
      <c r="B137" s="117"/>
      <c r="C137" s="80" t="s">
        <v>32</v>
      </c>
      <c r="D137" s="80" t="s">
        <v>124</v>
      </c>
      <c r="E137" s="80" t="s">
        <v>123</v>
      </c>
      <c r="F137" s="81" t="s">
        <v>229</v>
      </c>
      <c r="G137" s="82"/>
      <c r="H137" s="74" t="s">
        <v>261</v>
      </c>
      <c r="I137" s="13" t="s">
        <v>48</v>
      </c>
      <c r="J137" s="26">
        <v>8</v>
      </c>
      <c r="K137" s="85">
        <f>IF((J138="NA"),"NA",IF(J138&gt;15,0,IF(J138=1,10,((1-(J138/15))*10))))</f>
        <v>4</v>
      </c>
      <c r="L137" s="72"/>
      <c r="M137" s="77"/>
      <c r="N137" s="79"/>
      <c r="O137" s="86"/>
      <c r="P137" s="149"/>
    </row>
    <row r="138" spans="2:16" ht="26.25" customHeight="1" thickBot="1" x14ac:dyDescent="0.25">
      <c r="B138" s="117"/>
      <c r="C138" s="92"/>
      <c r="D138" s="93"/>
      <c r="E138" s="75"/>
      <c r="F138" s="102"/>
      <c r="G138" s="103"/>
      <c r="H138" s="75"/>
      <c r="I138" s="15" t="s">
        <v>49</v>
      </c>
      <c r="J138" s="40">
        <f>IF(H137="Si",(J137+1),"NA")</f>
        <v>9</v>
      </c>
      <c r="K138" s="86"/>
      <c r="L138" s="72"/>
      <c r="M138" s="77"/>
      <c r="N138" s="79"/>
      <c r="O138" s="86"/>
      <c r="P138" s="149"/>
    </row>
    <row r="139" spans="2:16" ht="26.25" customHeight="1" thickBot="1" x14ac:dyDescent="0.25">
      <c r="B139" s="117"/>
      <c r="C139" s="92"/>
      <c r="D139" s="80" t="s">
        <v>125</v>
      </c>
      <c r="E139" s="80" t="s">
        <v>247</v>
      </c>
      <c r="F139" s="81" t="s">
        <v>230</v>
      </c>
      <c r="G139" s="82"/>
      <c r="H139" s="74" t="s">
        <v>261</v>
      </c>
      <c r="I139" s="13" t="s">
        <v>48</v>
      </c>
      <c r="J139" s="26">
        <v>3</v>
      </c>
      <c r="K139" s="85">
        <f>IF((J140="NA"),"NA",IF(J140&gt;4,0,((1-(J140/4))*10)))</f>
        <v>2.5</v>
      </c>
      <c r="L139" s="72"/>
      <c r="M139" s="77"/>
      <c r="N139" s="79"/>
      <c r="O139" s="86"/>
      <c r="P139" s="149"/>
    </row>
    <row r="140" spans="2:16" ht="26.25" customHeight="1" thickBot="1" x14ac:dyDescent="0.25">
      <c r="B140" s="117"/>
      <c r="C140" s="92"/>
      <c r="D140" s="93"/>
      <c r="E140" s="75"/>
      <c r="F140" s="102"/>
      <c r="G140" s="103"/>
      <c r="H140" s="75"/>
      <c r="I140" s="15" t="s">
        <v>49</v>
      </c>
      <c r="J140" s="40">
        <f>IF(H139="Si",(J139),"NA")</f>
        <v>3</v>
      </c>
      <c r="K140" s="86"/>
      <c r="L140" s="72"/>
      <c r="M140" s="77"/>
      <c r="N140" s="79"/>
      <c r="O140" s="86"/>
      <c r="P140" s="149"/>
    </row>
    <row r="141" spans="2:16" ht="27" customHeight="1" thickBot="1" x14ac:dyDescent="0.25">
      <c r="B141" s="117"/>
      <c r="C141" s="92"/>
      <c r="D141" s="80" t="s">
        <v>126</v>
      </c>
      <c r="E141" s="92" t="s">
        <v>127</v>
      </c>
      <c r="F141" s="101">
        <v>0</v>
      </c>
      <c r="G141" s="82"/>
      <c r="H141" s="71" t="s">
        <v>262</v>
      </c>
      <c r="I141" s="13" t="s">
        <v>48</v>
      </c>
      <c r="J141" s="26"/>
      <c r="K141" s="104" t="str">
        <f>IF((J143="NA"),"NA",(((1-J143)*10)))</f>
        <v>NA</v>
      </c>
      <c r="L141" s="72"/>
      <c r="M141" s="77"/>
      <c r="N141" s="79"/>
      <c r="O141" s="86"/>
      <c r="P141" s="149"/>
    </row>
    <row r="142" spans="2:16" ht="26.25" customHeight="1" thickBot="1" x14ac:dyDescent="0.25">
      <c r="B142" s="117"/>
      <c r="C142" s="92"/>
      <c r="D142" s="92"/>
      <c r="E142" s="92"/>
      <c r="F142" s="83"/>
      <c r="G142" s="84"/>
      <c r="H142" s="72"/>
      <c r="I142" s="15" t="s">
        <v>47</v>
      </c>
      <c r="J142" s="27"/>
      <c r="K142" s="104"/>
      <c r="L142" s="72"/>
      <c r="M142" s="77"/>
      <c r="N142" s="79"/>
      <c r="O142" s="86"/>
      <c r="P142" s="149"/>
    </row>
    <row r="143" spans="2:16" ht="26.25" customHeight="1" thickBot="1" x14ac:dyDescent="0.25">
      <c r="B143" s="117"/>
      <c r="C143" s="92"/>
      <c r="D143" s="93"/>
      <c r="E143" s="93"/>
      <c r="F143" s="102"/>
      <c r="G143" s="103"/>
      <c r="H143" s="73"/>
      <c r="I143" s="16" t="s">
        <v>33</v>
      </c>
      <c r="J143" s="6" t="str">
        <f>IF(AND(H141="Si"),((J141/J142)),"NA")</f>
        <v>NA</v>
      </c>
      <c r="K143" s="104"/>
      <c r="L143" s="72"/>
      <c r="M143" s="77"/>
      <c r="N143" s="79"/>
      <c r="O143" s="86"/>
      <c r="P143" s="149"/>
    </row>
    <row r="144" spans="2:16" ht="33" customHeight="1" thickBot="1" x14ac:dyDescent="0.25">
      <c r="B144" s="117"/>
      <c r="C144" s="105" t="s">
        <v>22</v>
      </c>
      <c r="D144" s="80" t="s">
        <v>133</v>
      </c>
      <c r="E144" s="80" t="s">
        <v>135</v>
      </c>
      <c r="F144" s="101">
        <v>1</v>
      </c>
      <c r="G144" s="82"/>
      <c r="H144" s="71" t="s">
        <v>262</v>
      </c>
      <c r="I144" s="13" t="s">
        <v>48</v>
      </c>
      <c r="J144" s="26"/>
      <c r="K144" s="136" t="str">
        <f>IF((J146="NA"),"NA",((J146*10)))</f>
        <v>NA</v>
      </c>
      <c r="L144" s="72"/>
      <c r="M144" s="77"/>
      <c r="N144" s="79"/>
      <c r="O144" s="86"/>
      <c r="P144" s="149"/>
    </row>
    <row r="145" spans="1:16" ht="30.75" customHeight="1" thickBot="1" x14ac:dyDescent="0.25">
      <c r="B145" s="117"/>
      <c r="C145" s="105"/>
      <c r="D145" s="92"/>
      <c r="E145" s="79"/>
      <c r="F145" s="83"/>
      <c r="G145" s="84"/>
      <c r="H145" s="72"/>
      <c r="I145" s="15" t="s">
        <v>47</v>
      </c>
      <c r="J145" s="27"/>
      <c r="K145" s="137"/>
      <c r="L145" s="72"/>
      <c r="M145" s="77"/>
      <c r="N145" s="79"/>
      <c r="O145" s="86"/>
      <c r="P145" s="149"/>
    </row>
    <row r="146" spans="1:16" ht="31.5" customHeight="1" thickBot="1" x14ac:dyDescent="0.25">
      <c r="B146" s="117"/>
      <c r="C146" s="105"/>
      <c r="D146" s="93"/>
      <c r="E146" s="75"/>
      <c r="F146" s="102"/>
      <c r="G146" s="103"/>
      <c r="H146" s="73"/>
      <c r="I146" s="16" t="s">
        <v>33</v>
      </c>
      <c r="J146" s="6" t="str">
        <f>IF(AND(H144="Si"),(J144/J145),"NA")</f>
        <v>NA</v>
      </c>
      <c r="K146" s="138"/>
      <c r="L146" s="72"/>
      <c r="M146" s="77"/>
      <c r="N146" s="79"/>
      <c r="O146" s="86"/>
      <c r="P146" s="149"/>
    </row>
    <row r="147" spans="1:16" ht="33.75" customHeight="1" thickBot="1" x14ac:dyDescent="0.25">
      <c r="B147" s="117"/>
      <c r="C147" s="105"/>
      <c r="D147" s="80" t="s">
        <v>134</v>
      </c>
      <c r="E147" s="80" t="s">
        <v>136</v>
      </c>
      <c r="F147" s="101">
        <v>0</v>
      </c>
      <c r="G147" s="82"/>
      <c r="H147" s="71" t="s">
        <v>262</v>
      </c>
      <c r="I147" s="13" t="s">
        <v>48</v>
      </c>
      <c r="J147" s="26"/>
      <c r="K147" s="104" t="str">
        <f>IF((J149="NA"),"NA",(((1-J149)*10)))</f>
        <v>NA</v>
      </c>
      <c r="L147" s="72"/>
      <c r="M147" s="77"/>
      <c r="N147" s="79"/>
      <c r="O147" s="86"/>
      <c r="P147" s="149"/>
    </row>
    <row r="148" spans="1:16" ht="29.25" customHeight="1" thickBot="1" x14ac:dyDescent="0.25">
      <c r="B148" s="117"/>
      <c r="C148" s="105"/>
      <c r="D148" s="92"/>
      <c r="E148" s="79"/>
      <c r="F148" s="83"/>
      <c r="G148" s="84"/>
      <c r="H148" s="72"/>
      <c r="I148" s="15" t="s">
        <v>47</v>
      </c>
      <c r="J148" s="27"/>
      <c r="K148" s="104"/>
      <c r="L148" s="72"/>
      <c r="M148" s="77"/>
      <c r="N148" s="79"/>
      <c r="O148" s="86"/>
      <c r="P148" s="149"/>
    </row>
    <row r="149" spans="1:16" ht="36" customHeight="1" thickBot="1" x14ac:dyDescent="0.25">
      <c r="B149" s="117"/>
      <c r="C149" s="105"/>
      <c r="D149" s="93"/>
      <c r="E149" s="75"/>
      <c r="F149" s="102"/>
      <c r="G149" s="103"/>
      <c r="H149" s="73"/>
      <c r="I149" s="16" t="s">
        <v>33</v>
      </c>
      <c r="J149" s="6" t="str">
        <f>IF(AND(H147="Si"),((J147/J148)),"NA")</f>
        <v>NA</v>
      </c>
      <c r="K149" s="104"/>
      <c r="L149" s="73"/>
      <c r="M149" s="78"/>
      <c r="N149" s="75"/>
      <c r="O149" s="100"/>
      <c r="P149" s="149"/>
    </row>
    <row r="150" spans="1:16" ht="5.25" customHeight="1" thickBot="1" x14ac:dyDescent="0.25">
      <c r="B150" s="96"/>
      <c r="C150" s="97"/>
      <c r="D150" s="97"/>
      <c r="E150" s="97"/>
      <c r="F150" s="97"/>
      <c r="G150" s="97"/>
      <c r="H150" s="97"/>
      <c r="I150" s="97"/>
      <c r="J150" s="97"/>
      <c r="K150" s="97"/>
      <c r="L150" s="97"/>
      <c r="M150" s="97"/>
      <c r="N150" s="97"/>
      <c r="O150" s="98"/>
      <c r="P150" s="149"/>
    </row>
    <row r="151" spans="1:16" ht="40.5" customHeight="1" thickBot="1" x14ac:dyDescent="0.25">
      <c r="A151" s="21"/>
      <c r="B151" s="154" t="s">
        <v>147</v>
      </c>
      <c r="C151" s="74" t="s">
        <v>138</v>
      </c>
      <c r="D151" s="80" t="s">
        <v>137</v>
      </c>
      <c r="E151" s="80" t="s">
        <v>139</v>
      </c>
      <c r="F151" s="101">
        <v>0</v>
      </c>
      <c r="G151" s="82"/>
      <c r="H151" s="71" t="s">
        <v>262</v>
      </c>
      <c r="I151" s="13" t="s">
        <v>48</v>
      </c>
      <c r="J151" s="26"/>
      <c r="K151" s="104" t="str">
        <f>IF((J153="NA"),"NA",(((1-J153)*10)))</f>
        <v>NA</v>
      </c>
      <c r="L151" s="85">
        <f>IF(AND(H151="No",H154="No",H157="No",H160="No"),0,AVERAGE(K151:K162))</f>
        <v>0</v>
      </c>
      <c r="M151" s="76" t="s">
        <v>258</v>
      </c>
      <c r="N151" s="157">
        <v>0</v>
      </c>
      <c r="O151" s="85">
        <f>L151*N151</f>
        <v>0</v>
      </c>
      <c r="P151" s="149"/>
    </row>
    <row r="152" spans="1:16" ht="42" customHeight="1" thickBot="1" x14ac:dyDescent="0.25">
      <c r="A152" s="21"/>
      <c r="B152" s="155"/>
      <c r="C152" s="79"/>
      <c r="D152" s="92"/>
      <c r="E152" s="79"/>
      <c r="F152" s="83"/>
      <c r="G152" s="84"/>
      <c r="H152" s="72"/>
      <c r="I152" s="15" t="s">
        <v>47</v>
      </c>
      <c r="J152" s="27"/>
      <c r="K152" s="104"/>
      <c r="L152" s="86"/>
      <c r="M152" s="77"/>
      <c r="N152" s="158"/>
      <c r="O152" s="86"/>
      <c r="P152" s="149"/>
    </row>
    <row r="153" spans="1:16" ht="34.5" customHeight="1" thickBot="1" x14ac:dyDescent="0.25">
      <c r="A153" s="21"/>
      <c r="B153" s="155"/>
      <c r="C153" s="79"/>
      <c r="D153" s="93"/>
      <c r="E153" s="75"/>
      <c r="F153" s="102"/>
      <c r="G153" s="103"/>
      <c r="H153" s="73"/>
      <c r="I153" s="16" t="s">
        <v>33</v>
      </c>
      <c r="J153" s="6" t="str">
        <f>IF(AND(H151="Si"),((J151/J152)),"NA")</f>
        <v>NA</v>
      </c>
      <c r="K153" s="104"/>
      <c r="L153" s="86"/>
      <c r="M153" s="77"/>
      <c r="N153" s="158"/>
      <c r="O153" s="86"/>
      <c r="P153" s="149"/>
    </row>
    <row r="154" spans="1:16" ht="39.75" customHeight="1" thickBot="1" x14ac:dyDescent="0.25">
      <c r="A154" s="21"/>
      <c r="B154" s="155"/>
      <c r="C154" s="79"/>
      <c r="D154" s="80" t="s">
        <v>140</v>
      </c>
      <c r="E154" s="80" t="s">
        <v>141</v>
      </c>
      <c r="F154" s="101">
        <v>0</v>
      </c>
      <c r="G154" s="82"/>
      <c r="H154" s="71" t="s">
        <v>262</v>
      </c>
      <c r="I154" s="13" t="s">
        <v>48</v>
      </c>
      <c r="J154" s="26"/>
      <c r="K154" s="104" t="str">
        <f>IF((J156="NA"),"NA",(((1-J156)*10)))</f>
        <v>NA</v>
      </c>
      <c r="L154" s="86"/>
      <c r="M154" s="77"/>
      <c r="N154" s="158"/>
      <c r="O154" s="86"/>
      <c r="P154" s="149"/>
    </row>
    <row r="155" spans="1:16" ht="39" customHeight="1" thickBot="1" x14ac:dyDescent="0.25">
      <c r="A155" s="21"/>
      <c r="B155" s="155"/>
      <c r="C155" s="79"/>
      <c r="D155" s="92"/>
      <c r="E155" s="79"/>
      <c r="F155" s="83"/>
      <c r="G155" s="84"/>
      <c r="H155" s="72"/>
      <c r="I155" s="15" t="s">
        <v>47</v>
      </c>
      <c r="J155" s="27"/>
      <c r="K155" s="104"/>
      <c r="L155" s="86"/>
      <c r="M155" s="77"/>
      <c r="N155" s="158"/>
      <c r="O155" s="86"/>
      <c r="P155" s="149"/>
    </row>
    <row r="156" spans="1:16" ht="39" customHeight="1" thickBot="1" x14ac:dyDescent="0.25">
      <c r="A156" s="21"/>
      <c r="B156" s="155"/>
      <c r="C156" s="79"/>
      <c r="D156" s="93"/>
      <c r="E156" s="75"/>
      <c r="F156" s="102"/>
      <c r="G156" s="103"/>
      <c r="H156" s="73"/>
      <c r="I156" s="16" t="s">
        <v>33</v>
      </c>
      <c r="J156" s="6" t="str">
        <f>IF(AND(H154="Si"),((J154/J155)),"NA")</f>
        <v>NA</v>
      </c>
      <c r="K156" s="104"/>
      <c r="L156" s="86"/>
      <c r="M156" s="77"/>
      <c r="N156" s="158"/>
      <c r="O156" s="86"/>
      <c r="P156" s="149"/>
    </row>
    <row r="157" spans="1:16" ht="38.25" customHeight="1" thickBot="1" x14ac:dyDescent="0.25">
      <c r="A157" s="21"/>
      <c r="B157" s="155"/>
      <c r="C157" s="79"/>
      <c r="D157" s="80" t="s">
        <v>142</v>
      </c>
      <c r="E157" s="80" t="s">
        <v>143</v>
      </c>
      <c r="F157" s="101">
        <v>0</v>
      </c>
      <c r="G157" s="82"/>
      <c r="H157" s="71" t="s">
        <v>262</v>
      </c>
      <c r="I157" s="13" t="s">
        <v>48</v>
      </c>
      <c r="J157" s="26"/>
      <c r="K157" s="104" t="str">
        <f>IF((J159="NA"),"NA",(((1-J159)*10)))</f>
        <v>NA</v>
      </c>
      <c r="L157" s="86"/>
      <c r="M157" s="77"/>
      <c r="N157" s="158"/>
      <c r="O157" s="86"/>
      <c r="P157" s="149"/>
    </row>
    <row r="158" spans="1:16" ht="37.5" customHeight="1" thickBot="1" x14ac:dyDescent="0.25">
      <c r="A158" s="21"/>
      <c r="B158" s="155"/>
      <c r="C158" s="79"/>
      <c r="D158" s="92"/>
      <c r="E158" s="79"/>
      <c r="F158" s="83"/>
      <c r="G158" s="84"/>
      <c r="H158" s="72"/>
      <c r="I158" s="15" t="s">
        <v>47</v>
      </c>
      <c r="J158" s="27"/>
      <c r="K158" s="104"/>
      <c r="L158" s="86"/>
      <c r="M158" s="77"/>
      <c r="N158" s="158"/>
      <c r="O158" s="86"/>
      <c r="P158" s="149"/>
    </row>
    <row r="159" spans="1:16" ht="38.25" customHeight="1" thickBot="1" x14ac:dyDescent="0.25">
      <c r="A159" s="21"/>
      <c r="B159" s="155"/>
      <c r="C159" s="75"/>
      <c r="D159" s="93"/>
      <c r="E159" s="75"/>
      <c r="F159" s="102"/>
      <c r="G159" s="103"/>
      <c r="H159" s="73"/>
      <c r="I159" s="16" t="s">
        <v>33</v>
      </c>
      <c r="J159" s="6" t="str">
        <f>IF(AND(H157="Si"),((J157/J158)),"NA")</f>
        <v>NA</v>
      </c>
      <c r="K159" s="104"/>
      <c r="L159" s="86"/>
      <c r="M159" s="77"/>
      <c r="N159" s="158"/>
      <c r="O159" s="86"/>
      <c r="P159" s="149"/>
    </row>
    <row r="160" spans="1:16" ht="27.75" customHeight="1" thickBot="1" x14ac:dyDescent="0.25">
      <c r="A160" s="21"/>
      <c r="B160" s="155"/>
      <c r="C160" s="74" t="s">
        <v>146</v>
      </c>
      <c r="D160" s="80" t="s">
        <v>144</v>
      </c>
      <c r="E160" s="80" t="s">
        <v>145</v>
      </c>
      <c r="F160" s="81">
        <v>0</v>
      </c>
      <c r="G160" s="82"/>
      <c r="H160" s="71" t="s">
        <v>262</v>
      </c>
      <c r="I160" s="13" t="s">
        <v>48</v>
      </c>
      <c r="J160" s="26"/>
      <c r="K160" s="104" t="str">
        <f>IF((J162="NA"),"NA",(((1-J162)*10)))</f>
        <v>NA</v>
      </c>
      <c r="L160" s="86"/>
      <c r="M160" s="77"/>
      <c r="N160" s="158"/>
      <c r="O160" s="86"/>
      <c r="P160" s="149"/>
    </row>
    <row r="161" spans="1:16" ht="30" customHeight="1" thickBot="1" x14ac:dyDescent="0.25">
      <c r="A161" s="21"/>
      <c r="B161" s="155"/>
      <c r="C161" s="79"/>
      <c r="D161" s="92"/>
      <c r="E161" s="92"/>
      <c r="F161" s="83"/>
      <c r="G161" s="84"/>
      <c r="H161" s="72"/>
      <c r="I161" s="15" t="s">
        <v>47</v>
      </c>
      <c r="J161" s="27"/>
      <c r="K161" s="104"/>
      <c r="L161" s="86"/>
      <c r="M161" s="77"/>
      <c r="N161" s="158"/>
      <c r="O161" s="86"/>
      <c r="P161" s="149"/>
    </row>
    <row r="162" spans="1:16" ht="36" customHeight="1" thickBot="1" x14ac:dyDescent="0.25">
      <c r="A162" s="21"/>
      <c r="B162" s="156"/>
      <c r="C162" s="75"/>
      <c r="D162" s="93"/>
      <c r="E162" s="93"/>
      <c r="F162" s="102"/>
      <c r="G162" s="103"/>
      <c r="H162" s="73"/>
      <c r="I162" s="16" t="s">
        <v>33</v>
      </c>
      <c r="J162" s="6" t="str">
        <f>IF(AND(H160="Si"),((J160/J161)),"NA")</f>
        <v>NA</v>
      </c>
      <c r="K162" s="104"/>
      <c r="L162" s="100"/>
      <c r="M162" s="78"/>
      <c r="N162" s="159"/>
      <c r="O162" s="100"/>
      <c r="P162" s="150"/>
    </row>
    <row r="163" spans="1:16" x14ac:dyDescent="0.2">
      <c r="N163" s="47">
        <f>SUM(N1:N162)</f>
        <v>1</v>
      </c>
    </row>
    <row r="164" spans="1:16" x14ac:dyDescent="0.2">
      <c r="N164" s="17"/>
    </row>
  </sheetData>
  <dataConsolidate link="1"/>
  <mergeCells count="340">
    <mergeCell ref="D26:D28"/>
    <mergeCell ref="E26:E28"/>
    <mergeCell ref="F26:G28"/>
    <mergeCell ref="K26:K28"/>
    <mergeCell ref="C23:C28"/>
    <mergeCell ref="Q82:R84"/>
    <mergeCell ref="B2:P3"/>
    <mergeCell ref="C160:C162"/>
    <mergeCell ref="B151:B162"/>
    <mergeCell ref="L151:L162"/>
    <mergeCell ref="O151:O162"/>
    <mergeCell ref="N151:N162"/>
    <mergeCell ref="D157:D159"/>
    <mergeCell ref="E157:E159"/>
    <mergeCell ref="F157:G159"/>
    <mergeCell ref="K157:K159"/>
    <mergeCell ref="C151:C159"/>
    <mergeCell ref="D160:D162"/>
    <mergeCell ref="E160:E162"/>
    <mergeCell ref="F160:G162"/>
    <mergeCell ref="K160:K162"/>
    <mergeCell ref="D154:D156"/>
    <mergeCell ref="E154:E156"/>
    <mergeCell ref="F154:G156"/>
    <mergeCell ref="K154:K156"/>
    <mergeCell ref="P7:P162"/>
    <mergeCell ref="O17:O31"/>
    <mergeCell ref="L123:L149"/>
    <mergeCell ref="L113:L121"/>
    <mergeCell ref="K147:K149"/>
    <mergeCell ref="C137:C143"/>
    <mergeCell ref="E131:E133"/>
    <mergeCell ref="D131:D133"/>
    <mergeCell ref="F131:G133"/>
    <mergeCell ref="K131:K133"/>
    <mergeCell ref="D134:D136"/>
    <mergeCell ref="E134:E136"/>
    <mergeCell ref="F134:G136"/>
    <mergeCell ref="K134:K136"/>
    <mergeCell ref="C131:C136"/>
    <mergeCell ref="D151:D153"/>
    <mergeCell ref="E151:E153"/>
    <mergeCell ref="F151:G153"/>
    <mergeCell ref="K151:K153"/>
    <mergeCell ref="E141:E143"/>
    <mergeCell ref="D141:D143"/>
    <mergeCell ref="D137:D138"/>
    <mergeCell ref="E137:E138"/>
    <mergeCell ref="F137:G138"/>
    <mergeCell ref="K137:K138"/>
    <mergeCell ref="D139:D140"/>
    <mergeCell ref="E139:E140"/>
    <mergeCell ref="F139:G140"/>
    <mergeCell ref="K139:K140"/>
    <mergeCell ref="F141:G143"/>
    <mergeCell ref="K141:K143"/>
    <mergeCell ref="B150:O150"/>
    <mergeCell ref="D144:D146"/>
    <mergeCell ref="D147:D149"/>
    <mergeCell ref="E144:E146"/>
    <mergeCell ref="F144:G146"/>
    <mergeCell ref="K144:K146"/>
    <mergeCell ref="E147:E149"/>
    <mergeCell ref="F147:G149"/>
    <mergeCell ref="H137:H138"/>
    <mergeCell ref="H139:H140"/>
    <mergeCell ref="H141:H143"/>
    <mergeCell ref="H144:H146"/>
    <mergeCell ref="H147:H149"/>
    <mergeCell ref="C123:C127"/>
    <mergeCell ref="E128:E130"/>
    <mergeCell ref="D128:D130"/>
    <mergeCell ref="C128:C130"/>
    <mergeCell ref="F128:G130"/>
    <mergeCell ref="K128:K130"/>
    <mergeCell ref="F126:G127"/>
    <mergeCell ref="B122:O122"/>
    <mergeCell ref="B113:B121"/>
    <mergeCell ref="C113:C115"/>
    <mergeCell ref="D113:D115"/>
    <mergeCell ref="E113:E115"/>
    <mergeCell ref="F113:G115"/>
    <mergeCell ref="K113:K115"/>
    <mergeCell ref="E123:E125"/>
    <mergeCell ref="F123:G125"/>
    <mergeCell ref="K123:K125"/>
    <mergeCell ref="D126:D127"/>
    <mergeCell ref="E126:E127"/>
    <mergeCell ref="N113:N121"/>
    <mergeCell ref="O113:O121"/>
    <mergeCell ref="K126:K127"/>
    <mergeCell ref="N123:N149"/>
    <mergeCell ref="O123:O149"/>
    <mergeCell ref="E116:E118"/>
    <mergeCell ref="F116:G118"/>
    <mergeCell ref="K116:K118"/>
    <mergeCell ref="D119:D121"/>
    <mergeCell ref="C116:C121"/>
    <mergeCell ref="E119:E121"/>
    <mergeCell ref="F119:G121"/>
    <mergeCell ref="K119:K121"/>
    <mergeCell ref="E110:E111"/>
    <mergeCell ref="F110:G111"/>
    <mergeCell ref="K110:K111"/>
    <mergeCell ref="B112:O112"/>
    <mergeCell ref="L95:L111"/>
    <mergeCell ref="N95:N111"/>
    <mergeCell ref="O95:O111"/>
    <mergeCell ref="E98:E100"/>
    <mergeCell ref="F98:G100"/>
    <mergeCell ref="K98:K100"/>
    <mergeCell ref="C95:C100"/>
    <mergeCell ref="E104:E106"/>
    <mergeCell ref="F104:G106"/>
    <mergeCell ref="K104:K106"/>
    <mergeCell ref="E107:E109"/>
    <mergeCell ref="D107:D109"/>
    <mergeCell ref="C107:C109"/>
    <mergeCell ref="F107:G109"/>
    <mergeCell ref="K107:K109"/>
    <mergeCell ref="C82:C87"/>
    <mergeCell ref="D85:D87"/>
    <mergeCell ref="E85:E87"/>
    <mergeCell ref="F85:G87"/>
    <mergeCell ref="K85:K87"/>
    <mergeCell ref="C88:C90"/>
    <mergeCell ref="D88:D90"/>
    <mergeCell ref="E88:E90"/>
    <mergeCell ref="F88:G90"/>
    <mergeCell ref="K88:K90"/>
    <mergeCell ref="H88:H90"/>
    <mergeCell ref="H91:H93"/>
    <mergeCell ref="H95:H97"/>
    <mergeCell ref="H98:H100"/>
    <mergeCell ref="H101:H103"/>
    <mergeCell ref="H104:H106"/>
    <mergeCell ref="H107:H109"/>
    <mergeCell ref="F6:G6"/>
    <mergeCell ref="F7:G9"/>
    <mergeCell ref="F10:G12"/>
    <mergeCell ref="F13:G15"/>
    <mergeCell ref="I6:J6"/>
    <mergeCell ref="D70:D72"/>
    <mergeCell ref="E70:E72"/>
    <mergeCell ref="F70:G72"/>
    <mergeCell ref="K70:K72"/>
    <mergeCell ref="E7:E9"/>
    <mergeCell ref="K23:K25"/>
    <mergeCell ref="D13:D15"/>
    <mergeCell ref="D36:D38"/>
    <mergeCell ref="D54:D56"/>
    <mergeCell ref="D61:D63"/>
    <mergeCell ref="E61:E63"/>
    <mergeCell ref="F61:G63"/>
    <mergeCell ref="K61:K63"/>
    <mergeCell ref="B57:O57"/>
    <mergeCell ref="D58:D60"/>
    <mergeCell ref="E58:E60"/>
    <mergeCell ref="F58:G60"/>
    <mergeCell ref="K58:K60"/>
    <mergeCell ref="C64:C69"/>
    <mergeCell ref="O7:O15"/>
    <mergeCell ref="L7:L15"/>
    <mergeCell ref="K7:K9"/>
    <mergeCell ref="N33:N56"/>
    <mergeCell ref="O33:O56"/>
    <mergeCell ref="N7:N15"/>
    <mergeCell ref="E73:E75"/>
    <mergeCell ref="F73:G75"/>
    <mergeCell ref="K73:K75"/>
    <mergeCell ref="E13:E15"/>
    <mergeCell ref="K13:K15"/>
    <mergeCell ref="F17:G19"/>
    <mergeCell ref="E17:E19"/>
    <mergeCell ref="K17:K19"/>
    <mergeCell ref="E20:E22"/>
    <mergeCell ref="F20:G22"/>
    <mergeCell ref="K20:K22"/>
    <mergeCell ref="F23:G25"/>
    <mergeCell ref="E36:E38"/>
    <mergeCell ref="F36:G38"/>
    <mergeCell ref="E54:E56"/>
    <mergeCell ref="F54:G56"/>
    <mergeCell ref="K54:K56"/>
    <mergeCell ref="L58:L93"/>
    <mergeCell ref="K36:K38"/>
    <mergeCell ref="D39:D41"/>
    <mergeCell ref="E39:E41"/>
    <mergeCell ref="C33:C41"/>
    <mergeCell ref="F39:G41"/>
    <mergeCell ref="K39:K41"/>
    <mergeCell ref="F79:G81"/>
    <mergeCell ref="K79:K81"/>
    <mergeCell ref="C58:C63"/>
    <mergeCell ref="D64:D66"/>
    <mergeCell ref="E64:E66"/>
    <mergeCell ref="F64:G66"/>
    <mergeCell ref="E76:E78"/>
    <mergeCell ref="F76:G78"/>
    <mergeCell ref="K76:K78"/>
    <mergeCell ref="E79:E81"/>
    <mergeCell ref="E67:E69"/>
    <mergeCell ref="F67:G69"/>
    <mergeCell ref="K67:K69"/>
    <mergeCell ref="H36:H38"/>
    <mergeCell ref="H39:H41"/>
    <mergeCell ref="H42:H43"/>
    <mergeCell ref="H44:H45"/>
    <mergeCell ref="H46:H47"/>
    <mergeCell ref="C7:C9"/>
    <mergeCell ref="D7:D9"/>
    <mergeCell ref="B95:B111"/>
    <mergeCell ref="C51:C56"/>
    <mergeCell ref="B7:B15"/>
    <mergeCell ref="D82:D84"/>
    <mergeCell ref="C91:C93"/>
    <mergeCell ref="D91:D93"/>
    <mergeCell ref="D98:D100"/>
    <mergeCell ref="C104:C106"/>
    <mergeCell ref="D104:D106"/>
    <mergeCell ref="C110:C111"/>
    <mergeCell ref="D110:D111"/>
    <mergeCell ref="B17:B31"/>
    <mergeCell ref="D20:D22"/>
    <mergeCell ref="D23:D25"/>
    <mergeCell ref="B32:O32"/>
    <mergeCell ref="L17:L31"/>
    <mergeCell ref="N17:N31"/>
    <mergeCell ref="C10:C15"/>
    <mergeCell ref="B16:O16"/>
    <mergeCell ref="B33:B56"/>
    <mergeCell ref="D10:D12"/>
    <mergeCell ref="C17:C22"/>
    <mergeCell ref="C29:C31"/>
    <mergeCell ref="F29:G31"/>
    <mergeCell ref="K29:K31"/>
    <mergeCell ref="D17:D19"/>
    <mergeCell ref="B123:B149"/>
    <mergeCell ref="C144:C149"/>
    <mergeCell ref="D116:D118"/>
    <mergeCell ref="D123:D125"/>
    <mergeCell ref="D101:D103"/>
    <mergeCell ref="C101:C103"/>
    <mergeCell ref="E101:E103"/>
    <mergeCell ref="F101:G103"/>
    <mergeCell ref="K101:K103"/>
    <mergeCell ref="E91:E93"/>
    <mergeCell ref="F91:G93"/>
    <mergeCell ref="K91:K93"/>
    <mergeCell ref="B58:B93"/>
    <mergeCell ref="E82:E84"/>
    <mergeCell ref="K64:K66"/>
    <mergeCell ref="D67:D69"/>
    <mergeCell ref="C42:C50"/>
    <mergeCell ref="C70:C81"/>
    <mergeCell ref="E23:E25"/>
    <mergeCell ref="D33:D35"/>
    <mergeCell ref="M7:M15"/>
    <mergeCell ref="M17:M31"/>
    <mergeCell ref="M33:M56"/>
    <mergeCell ref="D51:D53"/>
    <mergeCell ref="E51:E53"/>
    <mergeCell ref="F51:G53"/>
    <mergeCell ref="K51:K53"/>
    <mergeCell ref="D46:D47"/>
    <mergeCell ref="E46:E47"/>
    <mergeCell ref="F46:G47"/>
    <mergeCell ref="K46:K47"/>
    <mergeCell ref="D48:D50"/>
    <mergeCell ref="E48:E50"/>
    <mergeCell ref="F48:G50"/>
    <mergeCell ref="K48:K50"/>
    <mergeCell ref="E10:E12"/>
    <mergeCell ref="K10:K12"/>
    <mergeCell ref="L33:L56"/>
    <mergeCell ref="E29:E31"/>
    <mergeCell ref="D29:D31"/>
    <mergeCell ref="E33:E35"/>
    <mergeCell ref="F33:G35"/>
    <mergeCell ref="K33:K35"/>
    <mergeCell ref="K44:K45"/>
    <mergeCell ref="M58:M93"/>
    <mergeCell ref="M95:M111"/>
    <mergeCell ref="M113:M121"/>
    <mergeCell ref="M123:M149"/>
    <mergeCell ref="M151:M162"/>
    <mergeCell ref="D42:D43"/>
    <mergeCell ref="E42:E43"/>
    <mergeCell ref="F42:G43"/>
    <mergeCell ref="K42:K43"/>
    <mergeCell ref="D44:D45"/>
    <mergeCell ref="E44:E45"/>
    <mergeCell ref="F44:G45"/>
    <mergeCell ref="D73:D75"/>
    <mergeCell ref="D76:D78"/>
    <mergeCell ref="D79:D81"/>
    <mergeCell ref="E95:E97"/>
    <mergeCell ref="D95:D97"/>
    <mergeCell ref="B94:O94"/>
    <mergeCell ref="N58:N93"/>
    <mergeCell ref="O58:O93"/>
    <mergeCell ref="F95:G97"/>
    <mergeCell ref="K95:K97"/>
    <mergeCell ref="F82:G84"/>
    <mergeCell ref="K82:K84"/>
    <mergeCell ref="H48:H50"/>
    <mergeCell ref="H51:H53"/>
    <mergeCell ref="H54:H56"/>
    <mergeCell ref="H58:H60"/>
    <mergeCell ref="H7:H9"/>
    <mergeCell ref="H10:H12"/>
    <mergeCell ref="H13:H15"/>
    <mergeCell ref="H17:H19"/>
    <mergeCell ref="H20:H22"/>
    <mergeCell ref="H23:H25"/>
    <mergeCell ref="H26:H28"/>
    <mergeCell ref="H29:H31"/>
    <mergeCell ref="H33:H35"/>
    <mergeCell ref="H61:H63"/>
    <mergeCell ref="H64:H66"/>
    <mergeCell ref="H67:H69"/>
    <mergeCell ref="H70:H72"/>
    <mergeCell ref="H73:H75"/>
    <mergeCell ref="H76:H78"/>
    <mergeCell ref="H79:H81"/>
    <mergeCell ref="H82:H84"/>
    <mergeCell ref="H85:H87"/>
    <mergeCell ref="H151:H153"/>
    <mergeCell ref="H154:H156"/>
    <mergeCell ref="H157:H159"/>
    <mergeCell ref="H160:H162"/>
    <mergeCell ref="H110:H111"/>
    <mergeCell ref="H113:H115"/>
    <mergeCell ref="H116:H118"/>
    <mergeCell ref="H119:H121"/>
    <mergeCell ref="H123:H125"/>
    <mergeCell ref="H126:H127"/>
    <mergeCell ref="H128:H130"/>
    <mergeCell ref="H131:H133"/>
    <mergeCell ref="H134:H136"/>
  </mergeCells>
  <conditionalFormatting sqref="N7:N15 N17:N31 N33:N56 N58:N93 N95:N111 N113:N121 N123:N149 N151:N162">
    <cfRule type="expression" dxfId="2" priority="1">
      <formula>$N$163&lt;&gt;100%</formula>
    </cfRule>
  </conditionalFormatting>
  <dataValidations count="20">
    <dataValidation operator="lessThanOrEqual" allowBlank="1" showInputMessage="1" showErrorMessage="1" errorTitle="Mensaje exitoso" error="El valor ingresado en la variable A es mayor al umbral, el cual es considerado no exitoso." sqref="J29 J13"/>
    <dataValidation allowBlank="1" showInputMessage="1" showErrorMessage="1" errorTitle="Error en la métrica" error="El valor ingresado en la variable A es:_x000a_1. Mayor al umbral, el cual es considerado no exitoso._x000a_2. Igual a 0." sqref="J42 J110 J126 J137 J139"/>
    <dataValidation type="whole" operator="greaterThan" allowBlank="1" showInputMessage="1" showErrorMessage="1" errorTitle="Error en la métrica" error="El valor ingresado en la variable T debe ser mayor a cero" sqref="J55 J52 J40">
      <formula1>0</formula1>
    </dataValidation>
    <dataValidation type="whole" operator="equal" allowBlank="1" showInputMessage="1" showErrorMessage="1" errorTitle="Error en la métrica" error="El valor ingresado en la variable T debe ser 1." sqref="J30">
      <formula1>1</formula1>
    </dataValidation>
    <dataValidation type="whole" operator="lessThanOrEqual" allowBlank="1" showInputMessage="1" showErrorMessage="1" errorTitle="Error en la métrica" error="El valor ingresado en la variable A debe ser menor o igual a la variable B" sqref="J76 J7 J98 J17 J20 J23 J157 J58 J61 J64 J67 J79 J70 J73 J26 J82 J85 J88 J91 J95 J101 J104 J107 J113 J116 J119 J123 J128 J131 J134 J141 J144 J147 J151 J154 J160">
      <formula1>J8</formula1>
    </dataValidation>
    <dataValidation type="custom" allowBlank="1" showInputMessage="1" showErrorMessage="1" errorTitle="Error en la métrica" error="El valor ingresado en la variable B debe ser:_x000a_1. Mayor a cero._x000a_2. Mayor o igual a la variable A" sqref="J161 J158 J155 J21 J24 J148 J59 J62 J152 J68 J71 J80 J74 J27 J83 J86 J89 J92 J96 J99 J102 J105 J108 J114 J117 J120 J124 J129 J132 J135 J145">
      <formula1>AND(J21&gt;0,J21&gt;=J20)</formula1>
    </dataValidation>
    <dataValidation type="list" allowBlank="1" showInputMessage="1" showErrorMessage="1" errorTitle="Error en Nivel de Importancia" error="No se debe ingresar valores que no están en la lista." sqref="M151:M162 M7:M15 M17:M31 M58:M93 M95:M111 M113:M121 M123:M149 M33:M56">
      <formula1>importancia</formula1>
    </dataValidation>
    <dataValidation operator="equal" allowBlank="1" showInputMessage="1" showErrorMessage="1" errorTitle="error" error="ssss" sqref="N163"/>
    <dataValidation type="whole" operator="lessThanOrEqual" showInputMessage="1" showErrorMessage="1" errorTitle="Error en la métrica" error="El valor ingresado en la variable A debe ser menor o igual a la variable B" sqref="J10">
      <formula1>J11</formula1>
    </dataValidation>
    <dataValidation type="list" allowBlank="1" showInputMessage="1" showErrorMessage="1" errorTitle="Error" error="No se debe ingresar valores que no están en la lista." sqref="H7:H15 H17:H31 H58:H93 H95:H111 H113:H121 H123:H149 H151:H162 H33:H56">
      <formula1>aplica2</formula1>
    </dataValidation>
    <dataValidation type="whole" operator="equal" allowBlank="1" showInputMessage="1" showErrorMessage="1" errorTitle="Error en la métrica" error="El valor ingresado en la variable T debe ser 15." sqref="J14">
      <formula1>15</formula1>
    </dataValidation>
    <dataValidation operator="lessThanOrEqual" allowBlank="1" showInputMessage="1" showErrorMessage="1" errorTitle="Mensaje exitoso" error="El valor ingresado en la variable A es mayor al umbral, el cual es considerado exitoso." sqref="J54 J51 J39"/>
    <dataValidation operator="lessThanOrEqual" allowBlank="1" showInputMessage="1" showErrorMessage="1" errorTitle="Error en la métrica" error="El valor ingresado en la variable A debe ser menor o igual a la variable B" sqref="J46"/>
    <dataValidation operator="lessThanOrEqual" allowBlank="1" showInputMessage="1" showErrorMessage="1" errorTitle="Error en la métrica" error="El valor ingresado en la variable A fue mayor que la variable B._x000a_" sqref="J44"/>
    <dataValidation type="whole" operator="lessThanOrEqual" allowBlank="1" showInputMessage="1" showErrorMessage="1" errorTitle="Error en la métrica" error="El valor ingresado en la variable A debe ser menor al valor ingresado en la variable B._x000a_" sqref="J36 J48">
      <formula1>J37</formula1>
    </dataValidation>
    <dataValidation type="whole" operator="greaterThanOrEqual" allowBlank="1" showInputMessage="1" showErrorMessage="1" errorTitle="Error en la métrica" error="El valor ingresado en la variable B debe ser mayor o igual a la variable A" sqref="J34">
      <formula1>J33</formula1>
    </dataValidation>
    <dataValidation type="whole" operator="lessThan" allowBlank="1" showInputMessage="1" showErrorMessage="1" errorTitle="Error en la métrica" error="El valor ingresado en la variable A debe ser menor al valor ingresado en la variable B._x000a__x000a_" sqref="J33">
      <formula1>J34</formula1>
    </dataValidation>
    <dataValidation type="custom" allowBlank="1" showInputMessage="1" showErrorMessage="1" errorTitle="Error en la métrica" error="El valor ingresado en la variable B debe ser:_x000a_1. Mayor a cero._x000a_2. Mayor o igual a la variable A" sqref="J8 J11 J18 J65 J77 J142">
      <formula1>AND(J8&gt;0,J8&gt;=J7)</formula1>
    </dataValidation>
    <dataValidation type="whole" operator="greaterThanOrEqual" allowBlank="1" showInputMessage="1" showErrorMessage="1" errorTitle="Error en la métrica" error="El valor ingresado en la variable B debe ser mayor o igual a la variable A" sqref="J37">
      <formula1>J36</formula1>
    </dataValidation>
    <dataValidation type="whole" operator="greaterThanOrEqual" allowBlank="1" showInputMessage="1" showErrorMessage="1" errorTitle="Error en la métrica" error="El valor ingresado en la variable B debe ser menor al valor ingresado en la variable A._x000a_" sqref="J49">
      <formula1>J48</formula1>
    </dataValidation>
  </dataValidations>
  <pageMargins left="0.7" right="0.7" top="0.75" bottom="0.75" header="0.3" footer="0.3"/>
  <pageSetup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2:Q170"/>
  <sheetViews>
    <sheetView showGridLines="0" topLeftCell="C148" zoomScaleNormal="100" workbookViewId="0">
      <selection activeCell="N170" sqref="N170"/>
    </sheetView>
  </sheetViews>
  <sheetFormatPr baseColWidth="10" defaultColWidth="11.42578125" defaultRowHeight="14.25" x14ac:dyDescent="0.2"/>
  <cols>
    <col min="1" max="1" width="6.85546875" style="10" customWidth="1"/>
    <col min="2" max="2" width="28.85546875" style="10" customWidth="1"/>
    <col min="3" max="3" width="36" style="10" customWidth="1"/>
    <col min="4" max="4" width="38.7109375" style="10" customWidth="1"/>
    <col min="5" max="5" width="39.7109375" style="10" customWidth="1"/>
    <col min="6" max="6" width="12.85546875" style="10" customWidth="1"/>
    <col min="7" max="7" width="11.85546875" style="10" customWidth="1"/>
    <col min="8" max="8" width="13.140625" style="10" customWidth="1"/>
    <col min="9" max="9" width="10.28515625" style="10" customWidth="1"/>
    <col min="10" max="10" width="10.5703125" style="10" customWidth="1"/>
    <col min="11" max="11" width="20.5703125" style="10" customWidth="1"/>
    <col min="12" max="12" width="17.85546875" style="10" customWidth="1"/>
    <col min="13" max="13" width="19.85546875" style="10" customWidth="1"/>
    <col min="14" max="14" width="20.7109375" style="32" customWidth="1"/>
    <col min="15" max="15" width="14.28515625" style="10" customWidth="1"/>
    <col min="16" max="16" width="23.28515625" style="10" customWidth="1"/>
    <col min="17" max="17" width="59.42578125" style="10" customWidth="1"/>
    <col min="18" max="16384" width="11.42578125" style="10"/>
  </cols>
  <sheetData>
    <row r="2" spans="2:16" s="9" customFormat="1" ht="15" customHeight="1" x14ac:dyDescent="0.2">
      <c r="B2" s="153" t="s">
        <v>220</v>
      </c>
      <c r="C2" s="153"/>
      <c r="D2" s="153"/>
      <c r="E2" s="153"/>
      <c r="F2" s="153"/>
      <c r="G2" s="153"/>
      <c r="H2" s="153"/>
      <c r="I2" s="153"/>
      <c r="J2" s="153"/>
      <c r="K2" s="153"/>
      <c r="L2" s="153"/>
      <c r="M2" s="153"/>
      <c r="N2" s="153"/>
      <c r="O2" s="153"/>
      <c r="P2" s="153"/>
    </row>
    <row r="3" spans="2:16" s="9" customFormat="1" ht="14.25" customHeight="1" x14ac:dyDescent="0.2">
      <c r="B3" s="153"/>
      <c r="C3" s="153"/>
      <c r="D3" s="153"/>
      <c r="E3" s="153"/>
      <c r="F3" s="153"/>
      <c r="G3" s="153"/>
      <c r="H3" s="153"/>
      <c r="I3" s="153"/>
      <c r="J3" s="153"/>
      <c r="K3" s="153"/>
      <c r="L3" s="153"/>
      <c r="M3" s="153"/>
      <c r="N3" s="153"/>
      <c r="O3" s="153"/>
      <c r="P3" s="153"/>
    </row>
    <row r="4" spans="2:16" s="9" customFormat="1" ht="14.25" customHeight="1" x14ac:dyDescent="0.2">
      <c r="B4" s="30"/>
      <c r="C4" s="30"/>
      <c r="D4" s="30"/>
      <c r="E4" s="30"/>
      <c r="F4" s="30"/>
      <c r="G4" s="30"/>
      <c r="H4" s="30"/>
      <c r="I4" s="30"/>
      <c r="J4" s="30"/>
      <c r="K4" s="30"/>
      <c r="L4" s="30"/>
      <c r="M4" s="30"/>
      <c r="N4" s="31"/>
      <c r="O4" s="30"/>
      <c r="P4" s="30"/>
    </row>
    <row r="5" spans="2:16" ht="15" thickBot="1" x14ac:dyDescent="0.25"/>
    <row r="6" spans="2:16" ht="45.75" customHeight="1" thickBot="1" x14ac:dyDescent="0.25">
      <c r="B6" s="24" t="s">
        <v>0</v>
      </c>
      <c r="C6" s="24" t="s">
        <v>1</v>
      </c>
      <c r="D6" s="24" t="s">
        <v>2</v>
      </c>
      <c r="E6" s="24" t="s">
        <v>23</v>
      </c>
      <c r="F6" s="134" t="s">
        <v>38</v>
      </c>
      <c r="G6" s="134"/>
      <c r="H6" s="28" t="s">
        <v>260</v>
      </c>
      <c r="I6" s="134" t="s">
        <v>34</v>
      </c>
      <c r="J6" s="134"/>
      <c r="K6" s="24" t="s">
        <v>266</v>
      </c>
      <c r="L6" s="24" t="s">
        <v>36</v>
      </c>
      <c r="M6" s="24" t="s">
        <v>222</v>
      </c>
      <c r="N6" s="33" t="s">
        <v>35</v>
      </c>
      <c r="O6" s="24" t="s">
        <v>242</v>
      </c>
      <c r="P6" s="24" t="s">
        <v>39</v>
      </c>
    </row>
    <row r="7" spans="2:16" ht="39.75" customHeight="1" thickBot="1" x14ac:dyDescent="0.25">
      <c r="B7" s="127" t="s">
        <v>3</v>
      </c>
      <c r="C7" s="105" t="s">
        <v>10</v>
      </c>
      <c r="D7" s="105" t="s">
        <v>278</v>
      </c>
      <c r="E7" s="80" t="s">
        <v>46</v>
      </c>
      <c r="F7" s="112">
        <v>0</v>
      </c>
      <c r="G7" s="112"/>
      <c r="H7" s="71" t="s">
        <v>261</v>
      </c>
      <c r="I7" s="13" t="s">
        <v>48</v>
      </c>
      <c r="J7" s="26">
        <v>0</v>
      </c>
      <c r="K7" s="111">
        <f>IF((J9="NA"),"NA",((1-J9)*10))</f>
        <v>10</v>
      </c>
      <c r="L7" s="111">
        <f>IF(AND(H7="No",H10="No",H13="No"),0,AVERAGE(K7:K15))</f>
        <v>10</v>
      </c>
      <c r="M7" s="99" t="s">
        <v>257</v>
      </c>
      <c r="N7" s="169">
        <v>0.2</v>
      </c>
      <c r="O7" s="111">
        <f>L7*N7</f>
        <v>2</v>
      </c>
      <c r="P7" s="148">
        <f>SUM(O7,O17,O42,O68,O99,O117,O127,O146)</f>
        <v>8.6287500000000001</v>
      </c>
    </row>
    <row r="8" spans="2:16" ht="34.5" customHeight="1" thickBot="1" x14ac:dyDescent="0.25">
      <c r="B8" s="127"/>
      <c r="C8" s="105" t="s">
        <v>11</v>
      </c>
      <c r="D8" s="105" t="s">
        <v>24</v>
      </c>
      <c r="E8" s="79"/>
      <c r="F8" s="112"/>
      <c r="G8" s="112"/>
      <c r="H8" s="72"/>
      <c r="I8" s="15" t="s">
        <v>47</v>
      </c>
      <c r="J8" s="27">
        <v>25</v>
      </c>
      <c r="K8" s="111"/>
      <c r="L8" s="111"/>
      <c r="M8" s="122"/>
      <c r="N8" s="169"/>
      <c r="O8" s="111"/>
      <c r="P8" s="149"/>
    </row>
    <row r="9" spans="2:16" ht="41.25" customHeight="1" thickBot="1" x14ac:dyDescent="0.25">
      <c r="B9" s="127"/>
      <c r="C9" s="105"/>
      <c r="D9" s="105" t="s">
        <v>25</v>
      </c>
      <c r="E9" s="75"/>
      <c r="F9" s="112"/>
      <c r="G9" s="112"/>
      <c r="H9" s="73"/>
      <c r="I9" s="16" t="s">
        <v>49</v>
      </c>
      <c r="J9" s="6">
        <f>IF(AND(H7="Si"),(J7/J8),"NA")</f>
        <v>0</v>
      </c>
      <c r="K9" s="111"/>
      <c r="L9" s="111"/>
      <c r="M9" s="122"/>
      <c r="N9" s="169"/>
      <c r="O9" s="111"/>
      <c r="P9" s="149"/>
    </row>
    <row r="10" spans="2:16" ht="39.75" customHeight="1" thickBot="1" x14ac:dyDescent="0.25">
      <c r="B10" s="127"/>
      <c r="C10" s="106" t="s">
        <v>11</v>
      </c>
      <c r="D10" s="105" t="s">
        <v>225</v>
      </c>
      <c r="E10" s="105" t="s">
        <v>50</v>
      </c>
      <c r="F10" s="112">
        <v>1</v>
      </c>
      <c r="G10" s="112"/>
      <c r="H10" s="71" t="s">
        <v>262</v>
      </c>
      <c r="I10" s="13" t="s">
        <v>48</v>
      </c>
      <c r="J10" s="26"/>
      <c r="K10" s="111" t="str">
        <f>IF((J12="NA"),"NA",((J12/F10)*10))</f>
        <v>NA</v>
      </c>
      <c r="L10" s="111"/>
      <c r="M10" s="122"/>
      <c r="N10" s="169"/>
      <c r="O10" s="111"/>
      <c r="P10" s="149"/>
    </row>
    <row r="11" spans="2:16" ht="32.25" customHeight="1" thickBot="1" x14ac:dyDescent="0.25">
      <c r="B11" s="127"/>
      <c r="C11" s="106"/>
      <c r="D11" s="105"/>
      <c r="E11" s="105"/>
      <c r="F11" s="112"/>
      <c r="G11" s="112"/>
      <c r="H11" s="72"/>
      <c r="I11" s="15" t="s">
        <v>47</v>
      </c>
      <c r="J11" s="27"/>
      <c r="K11" s="111"/>
      <c r="L11" s="111"/>
      <c r="M11" s="122"/>
      <c r="N11" s="169"/>
      <c r="O11" s="111"/>
      <c r="P11" s="149"/>
    </row>
    <row r="12" spans="2:16" ht="33.75" customHeight="1" thickBot="1" x14ac:dyDescent="0.25">
      <c r="B12" s="127"/>
      <c r="C12" s="106"/>
      <c r="D12" s="105"/>
      <c r="E12" s="105"/>
      <c r="F12" s="112"/>
      <c r="G12" s="112"/>
      <c r="H12" s="73"/>
      <c r="I12" s="16" t="s">
        <v>49</v>
      </c>
      <c r="J12" s="6" t="str">
        <f>IF(AND(H10="Si"),(J10/J11),"NA")</f>
        <v>NA</v>
      </c>
      <c r="K12" s="111"/>
      <c r="L12" s="111"/>
      <c r="M12" s="122"/>
      <c r="N12" s="169"/>
      <c r="O12" s="111"/>
      <c r="P12" s="149"/>
    </row>
    <row r="13" spans="2:16" ht="38.25" customHeight="1" thickBot="1" x14ac:dyDescent="0.25">
      <c r="B13" s="127"/>
      <c r="C13" s="106"/>
      <c r="D13" s="105" t="s">
        <v>226</v>
      </c>
      <c r="E13" s="105" t="s">
        <v>54</v>
      </c>
      <c r="F13" s="110" t="s">
        <v>264</v>
      </c>
      <c r="G13" s="112"/>
      <c r="H13" s="71" t="s">
        <v>261</v>
      </c>
      <c r="I13" s="13" t="s">
        <v>48</v>
      </c>
      <c r="J13" s="26">
        <v>0</v>
      </c>
      <c r="K13" s="111">
        <f>IF((J15="NA"),"NA",IF(J13&gt;10,0,((1-(J13/10))*10)))</f>
        <v>10</v>
      </c>
      <c r="L13" s="111"/>
      <c r="M13" s="122"/>
      <c r="N13" s="169"/>
      <c r="O13" s="111"/>
      <c r="P13" s="149"/>
    </row>
    <row r="14" spans="2:16" ht="32.25" customHeight="1" thickBot="1" x14ac:dyDescent="0.25">
      <c r="B14" s="127"/>
      <c r="C14" s="106"/>
      <c r="D14" s="105"/>
      <c r="E14" s="106"/>
      <c r="F14" s="112"/>
      <c r="G14" s="112"/>
      <c r="H14" s="72"/>
      <c r="I14" s="15" t="s">
        <v>51</v>
      </c>
      <c r="J14" s="46">
        <f>IF(H13="Si",15,"")</f>
        <v>15</v>
      </c>
      <c r="K14" s="111"/>
      <c r="L14" s="111"/>
      <c r="M14" s="122"/>
      <c r="N14" s="169"/>
      <c r="O14" s="111"/>
      <c r="P14" s="149"/>
    </row>
    <row r="15" spans="2:16" ht="33.75" customHeight="1" thickBot="1" x14ac:dyDescent="0.25">
      <c r="B15" s="127"/>
      <c r="C15" s="106"/>
      <c r="D15" s="105"/>
      <c r="E15" s="106"/>
      <c r="F15" s="112"/>
      <c r="G15" s="112"/>
      <c r="H15" s="73"/>
      <c r="I15" s="16" t="s">
        <v>49</v>
      </c>
      <c r="J15" s="7" t="str">
        <f>IF(AND(H13="Si"),(J13&amp;"/"&amp;J14&amp;"min"),"NA")</f>
        <v>0/15min</v>
      </c>
      <c r="K15" s="111"/>
      <c r="L15" s="111"/>
      <c r="M15" s="123"/>
      <c r="N15" s="169"/>
      <c r="O15" s="111"/>
      <c r="P15" s="149"/>
    </row>
    <row r="16" spans="2:16" ht="5.25" customHeight="1" thickBot="1" x14ac:dyDescent="0.25">
      <c r="B16" s="124"/>
      <c r="C16" s="125"/>
      <c r="D16" s="125"/>
      <c r="E16" s="125"/>
      <c r="F16" s="125"/>
      <c r="G16" s="125"/>
      <c r="H16" s="125"/>
      <c r="I16" s="125"/>
      <c r="J16" s="125"/>
      <c r="K16" s="125"/>
      <c r="L16" s="125"/>
      <c r="M16" s="125"/>
      <c r="N16" s="125"/>
      <c r="O16" s="126"/>
      <c r="P16" s="149"/>
    </row>
    <row r="17" spans="1:16" ht="38.25" customHeight="1" thickBot="1" x14ac:dyDescent="0.25">
      <c r="B17" s="118" t="s">
        <v>4</v>
      </c>
      <c r="C17" s="80" t="s">
        <v>12</v>
      </c>
      <c r="D17" s="116" t="s">
        <v>40</v>
      </c>
      <c r="E17" s="130" t="s">
        <v>53</v>
      </c>
      <c r="F17" s="106">
        <v>1</v>
      </c>
      <c r="G17" s="106"/>
      <c r="H17" s="71" t="s">
        <v>261</v>
      </c>
      <c r="I17" s="13" t="s">
        <v>48</v>
      </c>
      <c r="J17" s="26">
        <v>2</v>
      </c>
      <c r="K17" s="111">
        <f>IF((J19="NA"),"NA",((J19/F17)*10))</f>
        <v>5</v>
      </c>
      <c r="L17" s="85">
        <f>IF(AND(H17="No",H20="No",H23="No",H26="No",H29="No",H32="No",H35="No",H38="No"),0,AVERAGE(K17:K40))</f>
        <v>7</v>
      </c>
      <c r="M17" s="160" t="s">
        <v>223</v>
      </c>
      <c r="N17" s="157">
        <v>0.15</v>
      </c>
      <c r="O17" s="85">
        <f>L17*N17</f>
        <v>1.05</v>
      </c>
      <c r="P17" s="149"/>
    </row>
    <row r="18" spans="1:16" ht="30" customHeight="1" thickBot="1" x14ac:dyDescent="0.25">
      <c r="B18" s="119"/>
      <c r="C18" s="92"/>
      <c r="D18" s="116"/>
      <c r="E18" s="130"/>
      <c r="F18" s="106"/>
      <c r="G18" s="106"/>
      <c r="H18" s="72"/>
      <c r="I18" s="15" t="s">
        <v>47</v>
      </c>
      <c r="J18" s="27">
        <v>4</v>
      </c>
      <c r="K18" s="111"/>
      <c r="L18" s="86"/>
      <c r="M18" s="161"/>
      <c r="N18" s="158"/>
      <c r="O18" s="86"/>
      <c r="P18" s="149"/>
    </row>
    <row r="19" spans="1:16" s="17" customFormat="1" ht="36" customHeight="1" thickBot="1" x14ac:dyDescent="0.25">
      <c r="A19" s="10"/>
      <c r="B19" s="119"/>
      <c r="C19" s="92"/>
      <c r="D19" s="116"/>
      <c r="E19" s="130"/>
      <c r="F19" s="106"/>
      <c r="G19" s="106"/>
      <c r="H19" s="73"/>
      <c r="I19" s="16" t="s">
        <v>49</v>
      </c>
      <c r="J19" s="6">
        <f>IF(AND(H17="Si"),(J17/J18),"NA")</f>
        <v>0.5</v>
      </c>
      <c r="K19" s="111"/>
      <c r="L19" s="86"/>
      <c r="M19" s="161"/>
      <c r="N19" s="158"/>
      <c r="O19" s="86"/>
      <c r="P19" s="149"/>
    </row>
    <row r="20" spans="1:16" s="17" customFormat="1" ht="35.25" customHeight="1" thickBot="1" x14ac:dyDescent="0.25">
      <c r="A20" s="10"/>
      <c r="B20" s="119"/>
      <c r="C20" s="92"/>
      <c r="D20" s="105" t="s">
        <v>41</v>
      </c>
      <c r="E20" s="130" t="s">
        <v>55</v>
      </c>
      <c r="F20" s="106">
        <v>1</v>
      </c>
      <c r="G20" s="106"/>
      <c r="H20" s="71" t="s">
        <v>261</v>
      </c>
      <c r="I20" s="13" t="s">
        <v>48</v>
      </c>
      <c r="J20" s="26">
        <v>5</v>
      </c>
      <c r="K20" s="111">
        <f>IF((J22="NA"),"NA",((J22/F20)*10))</f>
        <v>10</v>
      </c>
      <c r="L20" s="86"/>
      <c r="M20" s="161"/>
      <c r="N20" s="158"/>
      <c r="O20" s="86"/>
      <c r="P20" s="149"/>
    </row>
    <row r="21" spans="1:16" s="17" customFormat="1" ht="42" customHeight="1" thickBot="1" x14ac:dyDescent="0.25">
      <c r="A21" s="10"/>
      <c r="B21" s="119"/>
      <c r="C21" s="92"/>
      <c r="D21" s="105"/>
      <c r="E21" s="130"/>
      <c r="F21" s="106"/>
      <c r="G21" s="106"/>
      <c r="H21" s="72"/>
      <c r="I21" s="15" t="s">
        <v>47</v>
      </c>
      <c r="J21" s="27">
        <v>5</v>
      </c>
      <c r="K21" s="111"/>
      <c r="L21" s="86"/>
      <c r="M21" s="161"/>
      <c r="N21" s="158"/>
      <c r="O21" s="86"/>
      <c r="P21" s="149"/>
    </row>
    <row r="22" spans="1:16" s="17" customFormat="1" ht="42" customHeight="1" thickBot="1" x14ac:dyDescent="0.25">
      <c r="A22" s="10"/>
      <c r="B22" s="119"/>
      <c r="C22" s="92"/>
      <c r="D22" s="105"/>
      <c r="E22" s="130"/>
      <c r="F22" s="106"/>
      <c r="G22" s="106"/>
      <c r="H22" s="73"/>
      <c r="I22" s="16" t="s">
        <v>49</v>
      </c>
      <c r="J22" s="6">
        <f>IF(AND(H20="Si"),(J20/J21),"NA")</f>
        <v>1</v>
      </c>
      <c r="K22" s="111"/>
      <c r="L22" s="86"/>
      <c r="M22" s="161"/>
      <c r="N22" s="158"/>
      <c r="O22" s="86"/>
      <c r="P22" s="149"/>
    </row>
    <row r="23" spans="1:16" s="17" customFormat="1" ht="36" customHeight="1" thickBot="1" x14ac:dyDescent="0.25">
      <c r="A23" s="10"/>
      <c r="B23" s="119"/>
      <c r="C23" s="92"/>
      <c r="D23" s="80" t="s">
        <v>52</v>
      </c>
      <c r="E23" s="116" t="s">
        <v>56</v>
      </c>
      <c r="F23" s="105" t="s">
        <v>264</v>
      </c>
      <c r="G23" s="106"/>
      <c r="H23" s="71" t="s">
        <v>261</v>
      </c>
      <c r="I23" s="13" t="s">
        <v>48</v>
      </c>
      <c r="J23" s="26">
        <v>0</v>
      </c>
      <c r="K23" s="85">
        <f>IF((J25="NA"),"NA",IF(J23&gt;10,0,(((1-(J23/10))*10))))</f>
        <v>10</v>
      </c>
      <c r="L23" s="86"/>
      <c r="M23" s="161"/>
      <c r="N23" s="158"/>
      <c r="O23" s="86"/>
      <c r="P23" s="149"/>
    </row>
    <row r="24" spans="1:16" s="17" customFormat="1" ht="39.75" customHeight="1" thickBot="1" x14ac:dyDescent="0.25">
      <c r="A24" s="10"/>
      <c r="B24" s="119"/>
      <c r="C24" s="92"/>
      <c r="D24" s="92"/>
      <c r="E24" s="116"/>
      <c r="F24" s="106"/>
      <c r="G24" s="106"/>
      <c r="H24" s="72"/>
      <c r="I24" s="15" t="s">
        <v>51</v>
      </c>
      <c r="J24" s="46">
        <f>IF(H23="Si",15,"")</f>
        <v>15</v>
      </c>
      <c r="K24" s="86"/>
      <c r="L24" s="86"/>
      <c r="M24" s="161"/>
      <c r="N24" s="158"/>
      <c r="O24" s="86"/>
      <c r="P24" s="149"/>
    </row>
    <row r="25" spans="1:16" s="17" customFormat="1" ht="29.25" customHeight="1" thickBot="1" x14ac:dyDescent="0.25">
      <c r="A25" s="10"/>
      <c r="B25" s="119"/>
      <c r="C25" s="93"/>
      <c r="D25" s="93"/>
      <c r="E25" s="116"/>
      <c r="F25" s="106"/>
      <c r="G25" s="106"/>
      <c r="H25" s="73"/>
      <c r="I25" s="16" t="s">
        <v>60</v>
      </c>
      <c r="J25" s="7" t="str">
        <f>IF(AND(H23="Si"),(J23&amp;"/"&amp;J24&amp;"min"),"NA")</f>
        <v>0/15min</v>
      </c>
      <c r="K25" s="100"/>
      <c r="L25" s="86"/>
      <c r="M25" s="161"/>
      <c r="N25" s="158"/>
      <c r="O25" s="86"/>
      <c r="P25" s="149"/>
    </row>
    <row r="26" spans="1:16" s="17" customFormat="1" ht="35.25" customHeight="1" thickBot="1" x14ac:dyDescent="0.25">
      <c r="A26" s="10"/>
      <c r="B26" s="119"/>
      <c r="C26" s="80" t="s">
        <v>13</v>
      </c>
      <c r="D26" s="139" t="s">
        <v>148</v>
      </c>
      <c r="E26" s="90" t="s">
        <v>149</v>
      </c>
      <c r="F26" s="90">
        <v>1</v>
      </c>
      <c r="G26" s="91"/>
      <c r="H26" s="71" t="s">
        <v>261</v>
      </c>
      <c r="I26" s="13" t="s">
        <v>48</v>
      </c>
      <c r="J26" s="26">
        <v>365</v>
      </c>
      <c r="K26" s="111">
        <f>IF((J28="NA"),"NA",((J28/F26)*10))</f>
        <v>10</v>
      </c>
      <c r="L26" s="86"/>
      <c r="M26" s="161"/>
      <c r="N26" s="158"/>
      <c r="O26" s="86"/>
      <c r="P26" s="149"/>
    </row>
    <row r="27" spans="1:16" s="17" customFormat="1" ht="36.75" customHeight="1" thickBot="1" x14ac:dyDescent="0.25">
      <c r="A27" s="10"/>
      <c r="B27" s="119"/>
      <c r="C27" s="92"/>
      <c r="D27" s="170"/>
      <c r="E27" s="90"/>
      <c r="F27" s="91"/>
      <c r="G27" s="91"/>
      <c r="H27" s="72"/>
      <c r="I27" s="15" t="s">
        <v>47</v>
      </c>
      <c r="J27" s="27">
        <v>365</v>
      </c>
      <c r="K27" s="111"/>
      <c r="L27" s="86"/>
      <c r="M27" s="161"/>
      <c r="N27" s="158"/>
      <c r="O27" s="86"/>
      <c r="P27" s="149"/>
    </row>
    <row r="28" spans="1:16" s="17" customFormat="1" ht="36.75" customHeight="1" thickBot="1" x14ac:dyDescent="0.25">
      <c r="A28" s="10"/>
      <c r="B28" s="119"/>
      <c r="C28" s="92"/>
      <c r="D28" s="171"/>
      <c r="E28" s="90"/>
      <c r="F28" s="91"/>
      <c r="G28" s="91"/>
      <c r="H28" s="73"/>
      <c r="I28" s="16" t="s">
        <v>49</v>
      </c>
      <c r="J28" s="6">
        <f>IF(AND(H26="Si"),(J26/J27),"NA")</f>
        <v>1</v>
      </c>
      <c r="K28" s="111"/>
      <c r="L28" s="86"/>
      <c r="M28" s="161"/>
      <c r="N28" s="158"/>
      <c r="O28" s="86"/>
      <c r="P28" s="149"/>
    </row>
    <row r="29" spans="1:16" s="17" customFormat="1" ht="36.75" customHeight="1" thickBot="1" x14ac:dyDescent="0.25">
      <c r="A29" s="10"/>
      <c r="B29" s="119"/>
      <c r="C29" s="92"/>
      <c r="D29" s="80" t="s">
        <v>150</v>
      </c>
      <c r="E29" s="116" t="s">
        <v>151</v>
      </c>
      <c r="F29" s="105" t="s">
        <v>79</v>
      </c>
      <c r="G29" s="106"/>
      <c r="H29" s="71" t="s">
        <v>262</v>
      </c>
      <c r="I29" s="13" t="s">
        <v>48</v>
      </c>
      <c r="J29" s="26"/>
      <c r="K29" s="85" t="str">
        <f>IF((J31="NA"),"NA",IF(J29&gt;10,0,(((1-(J29/10))*10))))</f>
        <v>NA</v>
      </c>
      <c r="L29" s="86"/>
      <c r="M29" s="161"/>
      <c r="N29" s="158"/>
      <c r="O29" s="86"/>
      <c r="P29" s="149"/>
    </row>
    <row r="30" spans="1:16" s="17" customFormat="1" ht="36.75" customHeight="1" thickBot="1" x14ac:dyDescent="0.25">
      <c r="A30" s="10"/>
      <c r="B30" s="119"/>
      <c r="C30" s="92"/>
      <c r="D30" s="92"/>
      <c r="E30" s="116"/>
      <c r="F30" s="106"/>
      <c r="G30" s="106"/>
      <c r="H30" s="72"/>
      <c r="I30" s="15" t="s">
        <v>51</v>
      </c>
      <c r="J30" s="46" t="str">
        <f>IF(H29="Si",1,"")</f>
        <v/>
      </c>
      <c r="K30" s="86"/>
      <c r="L30" s="86"/>
      <c r="M30" s="161"/>
      <c r="N30" s="158"/>
      <c r="O30" s="86"/>
      <c r="P30" s="149"/>
    </row>
    <row r="31" spans="1:16" s="17" customFormat="1" ht="29.25" customHeight="1" thickBot="1" x14ac:dyDescent="0.25">
      <c r="A31" s="10"/>
      <c r="B31" s="119"/>
      <c r="C31" s="93"/>
      <c r="D31" s="93"/>
      <c r="E31" s="116"/>
      <c r="F31" s="106"/>
      <c r="G31" s="106"/>
      <c r="H31" s="73"/>
      <c r="I31" s="16" t="s">
        <v>60</v>
      </c>
      <c r="J31" s="7" t="str">
        <f>IF(AND(H29="Si"),(J29&amp;"/"&amp;J30&amp;"min"),"NA")</f>
        <v>NA</v>
      </c>
      <c r="K31" s="100"/>
      <c r="L31" s="86"/>
      <c r="M31" s="161"/>
      <c r="N31" s="158"/>
      <c r="O31" s="86"/>
      <c r="P31" s="149"/>
    </row>
    <row r="32" spans="1:16" s="17" customFormat="1" ht="44.25" customHeight="1" thickBot="1" x14ac:dyDescent="0.25">
      <c r="A32" s="10"/>
      <c r="B32" s="119"/>
      <c r="C32" s="80" t="s">
        <v>14</v>
      </c>
      <c r="D32" s="80" t="s">
        <v>152</v>
      </c>
      <c r="E32" s="116" t="s">
        <v>153</v>
      </c>
      <c r="F32" s="105">
        <v>1</v>
      </c>
      <c r="G32" s="106"/>
      <c r="H32" s="71" t="s">
        <v>262</v>
      </c>
      <c r="I32" s="13" t="s">
        <v>48</v>
      </c>
      <c r="J32" s="26"/>
      <c r="K32" s="111" t="str">
        <f>IF((J34="NA"),"NA",((J34/F32)*10))</f>
        <v>NA</v>
      </c>
      <c r="L32" s="86"/>
      <c r="M32" s="161"/>
      <c r="N32" s="158"/>
      <c r="O32" s="86"/>
      <c r="P32" s="149"/>
    </row>
    <row r="33" spans="1:16" s="17" customFormat="1" ht="39" customHeight="1" thickBot="1" x14ac:dyDescent="0.25">
      <c r="A33" s="10"/>
      <c r="B33" s="119"/>
      <c r="C33" s="92"/>
      <c r="D33" s="92"/>
      <c r="E33" s="116"/>
      <c r="F33" s="106"/>
      <c r="G33" s="106"/>
      <c r="H33" s="72"/>
      <c r="I33" s="15" t="s">
        <v>47</v>
      </c>
      <c r="J33" s="27"/>
      <c r="K33" s="111"/>
      <c r="L33" s="86"/>
      <c r="M33" s="161"/>
      <c r="N33" s="158"/>
      <c r="O33" s="86"/>
      <c r="P33" s="149"/>
    </row>
    <row r="34" spans="1:16" s="17" customFormat="1" ht="41.25" customHeight="1" thickBot="1" x14ac:dyDescent="0.25">
      <c r="A34" s="10"/>
      <c r="B34" s="119"/>
      <c r="C34" s="92"/>
      <c r="D34" s="93"/>
      <c r="E34" s="116"/>
      <c r="F34" s="106"/>
      <c r="G34" s="106"/>
      <c r="H34" s="73"/>
      <c r="I34" s="16" t="s">
        <v>49</v>
      </c>
      <c r="J34" s="6" t="str">
        <f>IF(AND(H32="Si"),(J32/J33),"NA")</f>
        <v>NA</v>
      </c>
      <c r="K34" s="111"/>
      <c r="L34" s="86"/>
      <c r="M34" s="161"/>
      <c r="N34" s="158"/>
      <c r="O34" s="86"/>
      <c r="P34" s="149"/>
    </row>
    <row r="35" spans="1:16" s="17" customFormat="1" ht="36" customHeight="1" thickBot="1" x14ac:dyDescent="0.25">
      <c r="A35" s="10"/>
      <c r="B35" s="119"/>
      <c r="C35" s="92"/>
      <c r="D35" s="105" t="s">
        <v>42</v>
      </c>
      <c r="E35" s="116" t="s">
        <v>272</v>
      </c>
      <c r="F35" s="132">
        <v>1</v>
      </c>
      <c r="G35" s="132"/>
      <c r="H35" s="71" t="s">
        <v>261</v>
      </c>
      <c r="I35" s="13" t="s">
        <v>48</v>
      </c>
      <c r="J35" s="26">
        <v>0</v>
      </c>
      <c r="K35" s="111">
        <f>IF((J37="NA"),"NA",((J37/F35)*10))</f>
        <v>0</v>
      </c>
      <c r="L35" s="86"/>
      <c r="M35" s="161"/>
      <c r="N35" s="158"/>
      <c r="O35" s="86"/>
      <c r="P35" s="149"/>
    </row>
    <row r="36" spans="1:16" s="17" customFormat="1" ht="34.5" customHeight="1" thickBot="1" x14ac:dyDescent="0.25">
      <c r="A36" s="10"/>
      <c r="B36" s="119"/>
      <c r="C36" s="92"/>
      <c r="D36" s="105"/>
      <c r="E36" s="116"/>
      <c r="F36" s="132"/>
      <c r="G36" s="132"/>
      <c r="H36" s="72"/>
      <c r="I36" s="15" t="s">
        <v>47</v>
      </c>
      <c r="J36" s="27">
        <v>1</v>
      </c>
      <c r="K36" s="111"/>
      <c r="L36" s="86"/>
      <c r="M36" s="161"/>
      <c r="N36" s="158"/>
      <c r="O36" s="86"/>
      <c r="P36" s="149"/>
    </row>
    <row r="37" spans="1:16" s="17" customFormat="1" ht="36.75" customHeight="1" thickBot="1" x14ac:dyDescent="0.25">
      <c r="A37" s="10"/>
      <c r="B37" s="119"/>
      <c r="C37" s="93"/>
      <c r="D37" s="105"/>
      <c r="E37" s="116"/>
      <c r="F37" s="132"/>
      <c r="G37" s="132"/>
      <c r="H37" s="73"/>
      <c r="I37" s="16" t="s">
        <v>49</v>
      </c>
      <c r="J37" s="6">
        <f>IF(AND(H35="Si"),(J35/J36),"NA")</f>
        <v>0</v>
      </c>
      <c r="K37" s="111"/>
      <c r="L37" s="86"/>
      <c r="M37" s="161"/>
      <c r="N37" s="158"/>
      <c r="O37" s="86"/>
      <c r="P37" s="149"/>
    </row>
    <row r="38" spans="1:16" ht="41.25" customHeight="1" x14ac:dyDescent="0.2">
      <c r="B38" s="119"/>
      <c r="C38" s="80" t="s">
        <v>57</v>
      </c>
      <c r="D38" s="113" t="s">
        <v>58</v>
      </c>
      <c r="E38" s="80" t="s">
        <v>59</v>
      </c>
      <c r="F38" s="81" t="s">
        <v>79</v>
      </c>
      <c r="G38" s="82"/>
      <c r="H38" s="71" t="s">
        <v>262</v>
      </c>
      <c r="I38" s="13" t="s">
        <v>48</v>
      </c>
      <c r="J38" s="26"/>
      <c r="K38" s="85" t="str">
        <f>IF((J40="NA"),"NA",IF(J38&gt;10,0,(((1-(J38/10))*10))))</f>
        <v>NA</v>
      </c>
      <c r="L38" s="86"/>
      <c r="M38" s="161"/>
      <c r="N38" s="158"/>
      <c r="O38" s="86"/>
      <c r="P38" s="149"/>
    </row>
    <row r="39" spans="1:16" ht="39" customHeight="1" x14ac:dyDescent="0.2">
      <c r="B39" s="119"/>
      <c r="C39" s="92"/>
      <c r="D39" s="114"/>
      <c r="E39" s="79"/>
      <c r="F39" s="83"/>
      <c r="G39" s="84"/>
      <c r="H39" s="72"/>
      <c r="I39" s="15" t="s">
        <v>51</v>
      </c>
      <c r="J39" s="46" t="str">
        <f>IF(H38="Si",1,"")</f>
        <v/>
      </c>
      <c r="K39" s="86"/>
      <c r="L39" s="86"/>
      <c r="M39" s="161"/>
      <c r="N39" s="158"/>
      <c r="O39" s="86"/>
      <c r="P39" s="149"/>
    </row>
    <row r="40" spans="1:16" ht="33" customHeight="1" thickBot="1" x14ac:dyDescent="0.25">
      <c r="B40" s="120"/>
      <c r="C40" s="93"/>
      <c r="D40" s="115"/>
      <c r="E40" s="75"/>
      <c r="F40" s="102"/>
      <c r="G40" s="103"/>
      <c r="H40" s="73"/>
      <c r="I40" s="16" t="s">
        <v>60</v>
      </c>
      <c r="J40" s="7" t="str">
        <f>IF(AND(H38="Si"),(J38&amp;"/"&amp;J39&amp;"min"),"NA")</f>
        <v>NA</v>
      </c>
      <c r="K40" s="100"/>
      <c r="L40" s="100"/>
      <c r="M40" s="162"/>
      <c r="N40" s="159"/>
      <c r="O40" s="100"/>
      <c r="P40" s="149"/>
    </row>
    <row r="41" spans="1:16" ht="5.25" customHeight="1" thickBot="1" x14ac:dyDescent="0.25">
      <c r="B41" s="96"/>
      <c r="C41" s="97"/>
      <c r="D41" s="97"/>
      <c r="E41" s="97"/>
      <c r="F41" s="97"/>
      <c r="G41" s="97"/>
      <c r="H41" s="97"/>
      <c r="I41" s="97"/>
      <c r="J41" s="97"/>
      <c r="K41" s="97"/>
      <c r="L41" s="97"/>
      <c r="M41" s="97"/>
      <c r="N41" s="97"/>
      <c r="O41" s="98"/>
      <c r="P41" s="149"/>
    </row>
    <row r="42" spans="1:16" ht="33.75" customHeight="1" x14ac:dyDescent="0.2">
      <c r="B42" s="172" t="s">
        <v>5</v>
      </c>
      <c r="C42" s="80" t="s">
        <v>43</v>
      </c>
      <c r="D42" s="80" t="s">
        <v>61</v>
      </c>
      <c r="E42" s="80" t="s">
        <v>62</v>
      </c>
      <c r="F42" s="81" t="s">
        <v>305</v>
      </c>
      <c r="G42" s="82"/>
      <c r="H42" s="71" t="s">
        <v>261</v>
      </c>
      <c r="I42" s="13" t="s">
        <v>48</v>
      </c>
      <c r="J42" s="22">
        <v>0</v>
      </c>
      <c r="K42" s="107">
        <f>IF(OR(J44="NA"),"NA",IF(J44&gt;10,0,((J44/10)*10)))</f>
        <v>0</v>
      </c>
      <c r="L42" s="163">
        <f>IF(AND(H42="No",H45="No",H48="No",H51="No",H53="No",H55="No",H58="No",H61="No",H64),0,AVERAGE(K42:K66))</f>
        <v>7</v>
      </c>
      <c r="M42" s="160" t="s">
        <v>223</v>
      </c>
      <c r="N42" s="157">
        <v>0.13</v>
      </c>
      <c r="O42" s="166">
        <f>L42*N42</f>
        <v>0.91</v>
      </c>
      <c r="P42" s="149"/>
    </row>
    <row r="43" spans="1:16" ht="33.75" customHeight="1" x14ac:dyDescent="0.2">
      <c r="B43" s="173"/>
      <c r="C43" s="92"/>
      <c r="D43" s="92"/>
      <c r="E43" s="79"/>
      <c r="F43" s="83"/>
      <c r="G43" s="84"/>
      <c r="H43" s="72"/>
      <c r="I43" s="15" t="s">
        <v>47</v>
      </c>
      <c r="J43" s="23">
        <v>14</v>
      </c>
      <c r="K43" s="108"/>
      <c r="L43" s="164"/>
      <c r="M43" s="161"/>
      <c r="N43" s="158"/>
      <c r="O43" s="167"/>
      <c r="P43" s="149"/>
    </row>
    <row r="44" spans="1:16" ht="35.25" customHeight="1" thickBot="1" x14ac:dyDescent="0.25">
      <c r="B44" s="173"/>
      <c r="C44" s="92"/>
      <c r="D44" s="93"/>
      <c r="E44" s="75"/>
      <c r="F44" s="102"/>
      <c r="G44" s="103"/>
      <c r="H44" s="73"/>
      <c r="I44" s="16" t="s">
        <v>49</v>
      </c>
      <c r="J44" s="7">
        <f>IF((H42="Si"),(J43-J42),"NA")</f>
        <v>14</v>
      </c>
      <c r="K44" s="109"/>
      <c r="L44" s="164"/>
      <c r="M44" s="161"/>
      <c r="N44" s="158"/>
      <c r="O44" s="167"/>
      <c r="P44" s="149"/>
    </row>
    <row r="45" spans="1:16" ht="35.25" customHeight="1" x14ac:dyDescent="0.2">
      <c r="B45" s="173"/>
      <c r="C45" s="92"/>
      <c r="D45" s="89" t="s">
        <v>63</v>
      </c>
      <c r="E45" s="80" t="s">
        <v>64</v>
      </c>
      <c r="F45" s="81" t="s">
        <v>290</v>
      </c>
      <c r="G45" s="82"/>
      <c r="H45" s="71" t="s">
        <v>261</v>
      </c>
      <c r="I45" s="13" t="s">
        <v>48</v>
      </c>
      <c r="J45" s="26">
        <v>0</v>
      </c>
      <c r="K45" s="107">
        <f>IF(OR(J47="NA"),"NA",IF(J47&gt;20,0,((J47/20))*10))</f>
        <v>10</v>
      </c>
      <c r="L45" s="164"/>
      <c r="M45" s="161"/>
      <c r="N45" s="158"/>
      <c r="O45" s="167"/>
      <c r="P45" s="149"/>
    </row>
    <row r="46" spans="1:16" ht="35.25" customHeight="1" x14ac:dyDescent="0.2">
      <c r="B46" s="173"/>
      <c r="C46" s="92"/>
      <c r="D46" s="94"/>
      <c r="E46" s="79"/>
      <c r="F46" s="83"/>
      <c r="G46" s="84"/>
      <c r="H46" s="72"/>
      <c r="I46" s="15" t="s">
        <v>47</v>
      </c>
      <c r="J46" s="27">
        <v>20</v>
      </c>
      <c r="K46" s="108"/>
      <c r="L46" s="164"/>
      <c r="M46" s="161"/>
      <c r="N46" s="158"/>
      <c r="O46" s="167"/>
      <c r="P46" s="149"/>
    </row>
    <row r="47" spans="1:16" ht="34.5" customHeight="1" thickBot="1" x14ac:dyDescent="0.25">
      <c r="B47" s="173"/>
      <c r="C47" s="92"/>
      <c r="D47" s="95"/>
      <c r="E47" s="75"/>
      <c r="F47" s="102"/>
      <c r="G47" s="103"/>
      <c r="H47" s="73"/>
      <c r="I47" s="16" t="s">
        <v>49</v>
      </c>
      <c r="J47" s="7">
        <f>IF((H45="Si"),(J46-J45),"NA")</f>
        <v>20</v>
      </c>
      <c r="K47" s="109"/>
      <c r="L47" s="164"/>
      <c r="M47" s="161"/>
      <c r="N47" s="158"/>
      <c r="O47" s="167"/>
      <c r="P47" s="149"/>
    </row>
    <row r="48" spans="1:16" ht="36" customHeight="1" thickBot="1" x14ac:dyDescent="0.25">
      <c r="B48" s="173"/>
      <c r="C48" s="92"/>
      <c r="D48" s="89" t="s">
        <v>65</v>
      </c>
      <c r="E48" s="89" t="s">
        <v>66</v>
      </c>
      <c r="F48" s="90" t="s">
        <v>292</v>
      </c>
      <c r="G48" s="91"/>
      <c r="H48" s="71" t="s">
        <v>261</v>
      </c>
      <c r="I48" s="18" t="s">
        <v>48</v>
      </c>
      <c r="J48" s="29">
        <v>21</v>
      </c>
      <c r="K48" s="85">
        <f>IF((J50="NA"),"NA",IF(J48&gt;=10,10,((J48/20)*10)))</f>
        <v>10</v>
      </c>
      <c r="L48" s="164"/>
      <c r="M48" s="161"/>
      <c r="N48" s="158"/>
      <c r="O48" s="167"/>
      <c r="P48" s="149"/>
    </row>
    <row r="49" spans="2:16" ht="31.5" customHeight="1" thickBot="1" x14ac:dyDescent="0.25">
      <c r="B49" s="173"/>
      <c r="C49" s="92"/>
      <c r="D49" s="94"/>
      <c r="E49" s="128"/>
      <c r="F49" s="91"/>
      <c r="G49" s="91"/>
      <c r="H49" s="72"/>
      <c r="I49" s="19" t="s">
        <v>51</v>
      </c>
      <c r="J49" s="45">
        <f>IF(H48="Si",20,"")</f>
        <v>20</v>
      </c>
      <c r="K49" s="86"/>
      <c r="L49" s="164"/>
      <c r="M49" s="161"/>
      <c r="N49" s="158"/>
      <c r="O49" s="167"/>
      <c r="P49" s="149"/>
    </row>
    <row r="50" spans="2:16" ht="31.5" customHeight="1" thickBot="1" x14ac:dyDescent="0.25">
      <c r="B50" s="173"/>
      <c r="C50" s="93"/>
      <c r="D50" s="95"/>
      <c r="E50" s="88"/>
      <c r="F50" s="91"/>
      <c r="G50" s="91"/>
      <c r="H50" s="73"/>
      <c r="I50" s="20" t="s">
        <v>49</v>
      </c>
      <c r="J50" s="7" t="str">
        <f>IF((H48="Si"),(J48&amp;"/"&amp;J49&amp;"min"),"NA")</f>
        <v>21/20min</v>
      </c>
      <c r="K50" s="100"/>
      <c r="L50" s="164"/>
      <c r="M50" s="161"/>
      <c r="N50" s="158"/>
      <c r="O50" s="167"/>
      <c r="P50" s="149"/>
    </row>
    <row r="51" spans="2:16" ht="43.5" customHeight="1" thickBot="1" x14ac:dyDescent="0.25">
      <c r="B51" s="173"/>
      <c r="C51" s="92" t="s">
        <v>15</v>
      </c>
      <c r="D51" s="87" t="s">
        <v>72</v>
      </c>
      <c r="E51" s="89" t="s">
        <v>271</v>
      </c>
      <c r="F51" s="90" t="s">
        <v>270</v>
      </c>
      <c r="G51" s="91"/>
      <c r="H51" s="71" t="s">
        <v>261</v>
      </c>
      <c r="I51" s="13" t="s">
        <v>48</v>
      </c>
      <c r="J51" s="39">
        <v>3</v>
      </c>
      <c r="K51" s="104">
        <f>IF((J52="NA"),"NA",IF(J52&gt;=10,0,IF(J52=1,10,((1-(J52/10))*10))))</f>
        <v>7</v>
      </c>
      <c r="L51" s="164"/>
      <c r="M51" s="161"/>
      <c r="N51" s="158"/>
      <c r="O51" s="167"/>
      <c r="P51" s="149"/>
    </row>
    <row r="52" spans="2:16" ht="34.5" customHeight="1" thickBot="1" x14ac:dyDescent="0.25">
      <c r="B52" s="173"/>
      <c r="C52" s="92"/>
      <c r="D52" s="88" t="s">
        <v>71</v>
      </c>
      <c r="E52" s="88"/>
      <c r="F52" s="91"/>
      <c r="G52" s="91"/>
      <c r="H52" s="73"/>
      <c r="I52" s="16" t="s">
        <v>49</v>
      </c>
      <c r="J52" s="6">
        <f>IF(H51="Si",(J51),"NA")</f>
        <v>3</v>
      </c>
      <c r="K52" s="104"/>
      <c r="L52" s="164"/>
      <c r="M52" s="161"/>
      <c r="N52" s="158"/>
      <c r="O52" s="167"/>
      <c r="P52" s="149"/>
    </row>
    <row r="53" spans="2:16" ht="33.75" customHeight="1" thickBot="1" x14ac:dyDescent="0.25">
      <c r="B53" s="173"/>
      <c r="C53" s="92"/>
      <c r="D53" s="74" t="s">
        <v>74</v>
      </c>
      <c r="E53" s="80" t="s">
        <v>268</v>
      </c>
      <c r="F53" s="81" t="s">
        <v>269</v>
      </c>
      <c r="G53" s="82"/>
      <c r="H53" s="71" t="s">
        <v>261</v>
      </c>
      <c r="I53" s="13" t="s">
        <v>48</v>
      </c>
      <c r="J53" s="39">
        <v>2</v>
      </c>
      <c r="K53" s="104">
        <f>IF((J54="NA"),"NA",IF(J54&gt;=10,0,IF(J54=1,10,((1-(J54/10))*10))))</f>
        <v>8</v>
      </c>
      <c r="L53" s="164"/>
      <c r="M53" s="161"/>
      <c r="N53" s="158"/>
      <c r="O53" s="167"/>
      <c r="P53" s="149"/>
    </row>
    <row r="54" spans="2:16" ht="34.5" customHeight="1" thickBot="1" x14ac:dyDescent="0.25">
      <c r="B54" s="173"/>
      <c r="C54" s="92"/>
      <c r="D54" s="75"/>
      <c r="E54" s="75"/>
      <c r="F54" s="102"/>
      <c r="G54" s="103"/>
      <c r="H54" s="73"/>
      <c r="I54" s="16" t="s">
        <v>33</v>
      </c>
      <c r="J54" s="6">
        <f>IF(H53="Si",(J53),"NA")</f>
        <v>2</v>
      </c>
      <c r="K54" s="104"/>
      <c r="L54" s="164"/>
      <c r="M54" s="161"/>
      <c r="N54" s="158"/>
      <c r="O54" s="167"/>
      <c r="P54" s="149"/>
    </row>
    <row r="55" spans="2:16" ht="33.75" customHeight="1" thickBot="1" x14ac:dyDescent="0.25">
      <c r="B55" s="173"/>
      <c r="C55" s="92"/>
      <c r="D55" s="80" t="s">
        <v>75</v>
      </c>
      <c r="E55" s="143" t="s">
        <v>295</v>
      </c>
      <c r="F55" s="105" t="s">
        <v>73</v>
      </c>
      <c r="G55" s="106"/>
      <c r="H55" s="71" t="s">
        <v>262</v>
      </c>
      <c r="I55" s="13" t="s">
        <v>48</v>
      </c>
      <c r="J55" s="26"/>
      <c r="K55" s="107" t="str">
        <f>IF((J57="NA"),"NA",IF(J57&gt;15,0,(((1-(J57/15))*10))))</f>
        <v>NA</v>
      </c>
      <c r="L55" s="164"/>
      <c r="M55" s="161"/>
      <c r="N55" s="158"/>
      <c r="O55" s="167"/>
      <c r="P55" s="149"/>
    </row>
    <row r="56" spans="2:16" ht="33.75" customHeight="1" thickBot="1" x14ac:dyDescent="0.25">
      <c r="B56" s="173"/>
      <c r="C56" s="92"/>
      <c r="D56" s="92"/>
      <c r="E56" s="144"/>
      <c r="F56" s="106"/>
      <c r="G56" s="106"/>
      <c r="H56" s="72"/>
      <c r="I56" s="15" t="s">
        <v>47</v>
      </c>
      <c r="J56" s="27"/>
      <c r="K56" s="108"/>
      <c r="L56" s="164"/>
      <c r="M56" s="161"/>
      <c r="N56" s="158"/>
      <c r="O56" s="167"/>
      <c r="P56" s="149"/>
    </row>
    <row r="57" spans="2:16" ht="33.75" customHeight="1" thickBot="1" x14ac:dyDescent="0.25">
      <c r="B57" s="173"/>
      <c r="C57" s="93"/>
      <c r="D57" s="93"/>
      <c r="E57" s="145"/>
      <c r="F57" s="106"/>
      <c r="G57" s="106"/>
      <c r="H57" s="73"/>
      <c r="I57" s="16" t="s">
        <v>49</v>
      </c>
      <c r="J57" s="7" t="str">
        <f>IF((H55="Si"),(J56-J55),"NA")</f>
        <v>NA</v>
      </c>
      <c r="K57" s="109"/>
      <c r="L57" s="164"/>
      <c r="M57" s="161"/>
      <c r="N57" s="158"/>
      <c r="O57" s="167"/>
      <c r="P57" s="149"/>
    </row>
    <row r="58" spans="2:16" ht="39" customHeight="1" thickBot="1" x14ac:dyDescent="0.25">
      <c r="B58" s="173"/>
      <c r="C58" s="80" t="s">
        <v>16</v>
      </c>
      <c r="D58" s="80" t="s">
        <v>77</v>
      </c>
      <c r="E58" s="80" t="s">
        <v>76</v>
      </c>
      <c r="F58" s="105" t="s">
        <v>293</v>
      </c>
      <c r="G58" s="106"/>
      <c r="H58" s="71" t="s">
        <v>262</v>
      </c>
      <c r="I58" s="13" t="s">
        <v>48</v>
      </c>
      <c r="J58" s="29"/>
      <c r="K58" s="85" t="str">
        <f>IF((J60="NA"),"NA",IF(J58&gt;10,10,(((J58/10)*10))))</f>
        <v>NA</v>
      </c>
      <c r="L58" s="164"/>
      <c r="M58" s="161"/>
      <c r="N58" s="158"/>
      <c r="O58" s="167"/>
      <c r="P58" s="149"/>
    </row>
    <row r="59" spans="2:16" ht="35.25" customHeight="1" thickBot="1" x14ac:dyDescent="0.25">
      <c r="B59" s="173"/>
      <c r="C59" s="92"/>
      <c r="D59" s="92"/>
      <c r="E59" s="79"/>
      <c r="F59" s="106"/>
      <c r="G59" s="106"/>
      <c r="H59" s="72"/>
      <c r="I59" s="15" t="s">
        <v>51</v>
      </c>
      <c r="J59" s="46" t="str">
        <f>IF(H58="Si",3,"")</f>
        <v/>
      </c>
      <c r="K59" s="86"/>
      <c r="L59" s="164"/>
      <c r="M59" s="161"/>
      <c r="N59" s="158"/>
      <c r="O59" s="167"/>
      <c r="P59" s="149"/>
    </row>
    <row r="60" spans="2:16" ht="33" customHeight="1" thickBot="1" x14ac:dyDescent="0.25">
      <c r="B60" s="173"/>
      <c r="C60" s="92"/>
      <c r="D60" s="93"/>
      <c r="E60" s="75"/>
      <c r="F60" s="106"/>
      <c r="G60" s="106"/>
      <c r="H60" s="73"/>
      <c r="I60" s="16" t="s">
        <v>49</v>
      </c>
      <c r="J60" s="7" t="str">
        <f>IF(H58="Si",(J58&amp;"/"&amp;J59&amp;"min"),"NA")</f>
        <v>NA</v>
      </c>
      <c r="K60" s="100"/>
      <c r="L60" s="164"/>
      <c r="M60" s="161"/>
      <c r="N60" s="158"/>
      <c r="O60" s="167"/>
      <c r="P60" s="149"/>
    </row>
    <row r="61" spans="2:16" ht="33" customHeight="1" thickBot="1" x14ac:dyDescent="0.25">
      <c r="B61" s="173"/>
      <c r="C61" s="92"/>
      <c r="D61" s="89" t="s">
        <v>130</v>
      </c>
      <c r="E61" s="80" t="s">
        <v>78</v>
      </c>
      <c r="F61" s="105" t="s">
        <v>293</v>
      </c>
      <c r="G61" s="106"/>
      <c r="H61" s="71" t="s">
        <v>262</v>
      </c>
      <c r="I61" s="13" t="s">
        <v>48</v>
      </c>
      <c r="J61" s="29"/>
      <c r="K61" s="85" t="str">
        <f>IF((J63="NA"),"NA",IF(J61&gt;10,10,(((J61/10)*10))))</f>
        <v>NA</v>
      </c>
      <c r="L61" s="164"/>
      <c r="M61" s="161"/>
      <c r="N61" s="158"/>
      <c r="O61" s="167"/>
      <c r="P61" s="149"/>
    </row>
    <row r="62" spans="2:16" ht="33" customHeight="1" thickBot="1" x14ac:dyDescent="0.25">
      <c r="B62" s="173"/>
      <c r="C62" s="92"/>
      <c r="D62" s="94"/>
      <c r="E62" s="79"/>
      <c r="F62" s="106"/>
      <c r="G62" s="106"/>
      <c r="H62" s="72"/>
      <c r="I62" s="15" t="s">
        <v>51</v>
      </c>
      <c r="J62" s="46" t="str">
        <f>IF(H61="Si",3,"")</f>
        <v/>
      </c>
      <c r="K62" s="86"/>
      <c r="L62" s="164"/>
      <c r="M62" s="161"/>
      <c r="N62" s="158"/>
      <c r="O62" s="167"/>
      <c r="P62" s="149"/>
    </row>
    <row r="63" spans="2:16" ht="33" customHeight="1" thickBot="1" x14ac:dyDescent="0.25">
      <c r="B63" s="173"/>
      <c r="C63" s="92"/>
      <c r="D63" s="95"/>
      <c r="E63" s="75"/>
      <c r="F63" s="106"/>
      <c r="G63" s="106"/>
      <c r="H63" s="73"/>
      <c r="I63" s="16" t="s">
        <v>49</v>
      </c>
      <c r="J63" s="7" t="str">
        <f>IF(H61="Si",(J61&amp;"/"&amp;J62&amp;"min"),"NA")</f>
        <v>NA</v>
      </c>
      <c r="K63" s="100"/>
      <c r="L63" s="164"/>
      <c r="M63" s="161"/>
      <c r="N63" s="158"/>
      <c r="O63" s="167"/>
      <c r="P63" s="149"/>
    </row>
    <row r="64" spans="2:16" ht="33" customHeight="1" thickBot="1" x14ac:dyDescent="0.25">
      <c r="B64" s="173"/>
      <c r="C64" s="92"/>
      <c r="D64" s="89" t="s">
        <v>154</v>
      </c>
      <c r="E64" s="80" t="s">
        <v>155</v>
      </c>
      <c r="F64" s="105" t="s">
        <v>67</v>
      </c>
      <c r="G64" s="106"/>
      <c r="H64" s="71" t="s">
        <v>262</v>
      </c>
      <c r="I64" s="13" t="s">
        <v>48</v>
      </c>
      <c r="J64" s="29"/>
      <c r="K64" s="85" t="str">
        <f>IF((J66="NA"),"NA",IF(J64&gt;10,10,(((J64/10)*10))))</f>
        <v>NA</v>
      </c>
      <c r="L64" s="164"/>
      <c r="M64" s="161"/>
      <c r="N64" s="158"/>
      <c r="O64" s="167"/>
      <c r="P64" s="149"/>
    </row>
    <row r="65" spans="2:16" ht="33" customHeight="1" thickBot="1" x14ac:dyDescent="0.25">
      <c r="B65" s="173"/>
      <c r="C65" s="92"/>
      <c r="D65" s="94"/>
      <c r="E65" s="79"/>
      <c r="F65" s="106"/>
      <c r="G65" s="106"/>
      <c r="H65" s="72"/>
      <c r="I65" s="15" t="s">
        <v>51</v>
      </c>
      <c r="J65" s="46" t="str">
        <f>IF(H64="Si",1,"")</f>
        <v/>
      </c>
      <c r="K65" s="86"/>
      <c r="L65" s="164"/>
      <c r="M65" s="161"/>
      <c r="N65" s="158"/>
      <c r="O65" s="167"/>
      <c r="P65" s="149"/>
    </row>
    <row r="66" spans="2:16" ht="33" customHeight="1" thickBot="1" x14ac:dyDescent="0.25">
      <c r="B66" s="174"/>
      <c r="C66" s="93"/>
      <c r="D66" s="95"/>
      <c r="E66" s="75"/>
      <c r="F66" s="106"/>
      <c r="G66" s="106"/>
      <c r="H66" s="73"/>
      <c r="I66" s="16" t="s">
        <v>49</v>
      </c>
      <c r="J66" s="7" t="str">
        <f>IF(H64="Si",(J64&amp;"/"&amp;J65&amp;"min"),"NA")</f>
        <v>NA</v>
      </c>
      <c r="K66" s="100"/>
      <c r="L66" s="165"/>
      <c r="M66" s="162"/>
      <c r="N66" s="159"/>
      <c r="O66" s="168"/>
      <c r="P66" s="149"/>
    </row>
    <row r="67" spans="2:16" ht="5.25" customHeight="1" thickBot="1" x14ac:dyDescent="0.25">
      <c r="B67" s="96"/>
      <c r="C67" s="97"/>
      <c r="D67" s="97"/>
      <c r="E67" s="97"/>
      <c r="F67" s="97"/>
      <c r="G67" s="97"/>
      <c r="H67" s="97"/>
      <c r="I67" s="97"/>
      <c r="J67" s="97"/>
      <c r="K67" s="97"/>
      <c r="L67" s="97"/>
      <c r="M67" s="97"/>
      <c r="N67" s="97"/>
      <c r="O67" s="98"/>
      <c r="P67" s="149"/>
    </row>
    <row r="68" spans="2:16" ht="36.75" customHeight="1" thickBot="1" x14ac:dyDescent="0.25">
      <c r="B68" s="118" t="s">
        <v>6</v>
      </c>
      <c r="C68" s="80" t="s">
        <v>81</v>
      </c>
      <c r="D68" s="89" t="s">
        <v>80</v>
      </c>
      <c r="E68" s="80" t="s">
        <v>82</v>
      </c>
      <c r="F68" s="101">
        <v>1</v>
      </c>
      <c r="G68" s="82"/>
      <c r="H68" s="71" t="s">
        <v>262</v>
      </c>
      <c r="I68" s="13" t="s">
        <v>48</v>
      </c>
      <c r="J68" s="26"/>
      <c r="K68" s="111" t="str">
        <f>IF((J70="NA"),"NA",((J70/F68)*10))</f>
        <v>NA</v>
      </c>
      <c r="L68" s="85">
        <f>IF(AND(H68="No",H71="No",H74="No",H77="No",H80="No",H83="No",H86="No",H89="No",H92="No",H95="No"),0,AVERAGE(K68:K97))</f>
        <v>6.458333333333333</v>
      </c>
      <c r="M68" s="160" t="s">
        <v>223</v>
      </c>
      <c r="N68" s="157">
        <v>0.15</v>
      </c>
      <c r="O68" s="85">
        <f>L68*N68</f>
        <v>0.96874999999999989</v>
      </c>
      <c r="P68" s="149"/>
    </row>
    <row r="69" spans="2:16" ht="37.5" customHeight="1" thickBot="1" x14ac:dyDescent="0.25">
      <c r="B69" s="119"/>
      <c r="C69" s="92"/>
      <c r="D69" s="94"/>
      <c r="E69" s="79"/>
      <c r="F69" s="83"/>
      <c r="G69" s="84"/>
      <c r="H69" s="72"/>
      <c r="I69" s="15" t="s">
        <v>47</v>
      </c>
      <c r="J69" s="27"/>
      <c r="K69" s="111"/>
      <c r="L69" s="72"/>
      <c r="M69" s="161"/>
      <c r="N69" s="158"/>
      <c r="O69" s="86"/>
      <c r="P69" s="149"/>
    </row>
    <row r="70" spans="2:16" ht="42.75" customHeight="1" thickBot="1" x14ac:dyDescent="0.25">
      <c r="B70" s="119"/>
      <c r="C70" s="92"/>
      <c r="D70" s="95"/>
      <c r="E70" s="75"/>
      <c r="F70" s="102"/>
      <c r="G70" s="103"/>
      <c r="H70" s="73"/>
      <c r="I70" s="16" t="s">
        <v>49</v>
      </c>
      <c r="J70" s="6" t="str">
        <f>IF(AND(H68="Si"),(J68/J69),"NA")</f>
        <v>NA</v>
      </c>
      <c r="K70" s="111"/>
      <c r="L70" s="72"/>
      <c r="M70" s="161"/>
      <c r="N70" s="158"/>
      <c r="O70" s="86"/>
      <c r="P70" s="149"/>
    </row>
    <row r="71" spans="2:16" ht="38.25" customHeight="1" thickBot="1" x14ac:dyDescent="0.25">
      <c r="B71" s="119"/>
      <c r="C71" s="92"/>
      <c r="D71" s="80" t="s">
        <v>83</v>
      </c>
      <c r="E71" s="80" t="s">
        <v>84</v>
      </c>
      <c r="F71" s="105">
        <v>1</v>
      </c>
      <c r="G71" s="106"/>
      <c r="H71" s="71" t="s">
        <v>262</v>
      </c>
      <c r="I71" s="13" t="s">
        <v>48</v>
      </c>
      <c r="J71" s="26"/>
      <c r="K71" s="111" t="str">
        <f>IF((J73="NA"),"NA",((J73/F71)*10))</f>
        <v>NA</v>
      </c>
      <c r="L71" s="72"/>
      <c r="M71" s="161"/>
      <c r="N71" s="158"/>
      <c r="O71" s="86"/>
      <c r="P71" s="149"/>
    </row>
    <row r="72" spans="2:16" ht="33.75" customHeight="1" thickBot="1" x14ac:dyDescent="0.25">
      <c r="B72" s="119"/>
      <c r="C72" s="92"/>
      <c r="D72" s="92"/>
      <c r="E72" s="79"/>
      <c r="F72" s="106"/>
      <c r="G72" s="106"/>
      <c r="H72" s="72"/>
      <c r="I72" s="15" t="s">
        <v>47</v>
      </c>
      <c r="J72" s="27"/>
      <c r="K72" s="111"/>
      <c r="L72" s="72"/>
      <c r="M72" s="161"/>
      <c r="N72" s="158"/>
      <c r="O72" s="86"/>
      <c r="P72" s="149"/>
    </row>
    <row r="73" spans="2:16" ht="33.75" customHeight="1" thickBot="1" x14ac:dyDescent="0.25">
      <c r="B73" s="119"/>
      <c r="C73" s="93"/>
      <c r="D73" s="93"/>
      <c r="E73" s="75"/>
      <c r="F73" s="106"/>
      <c r="G73" s="106"/>
      <c r="H73" s="73"/>
      <c r="I73" s="16" t="s">
        <v>49</v>
      </c>
      <c r="J73" s="6" t="str">
        <f>IF(AND(H71="Si"),(J71/J72),"NA")</f>
        <v>NA</v>
      </c>
      <c r="K73" s="111"/>
      <c r="L73" s="72"/>
      <c r="M73" s="161"/>
      <c r="N73" s="158"/>
      <c r="O73" s="86"/>
      <c r="P73" s="149"/>
    </row>
    <row r="74" spans="2:16" ht="36" customHeight="1" thickBot="1" x14ac:dyDescent="0.25">
      <c r="B74" s="119"/>
      <c r="C74" s="92" t="s">
        <v>17</v>
      </c>
      <c r="D74" s="80" t="s">
        <v>85</v>
      </c>
      <c r="E74" s="80" t="s">
        <v>86</v>
      </c>
      <c r="F74" s="105">
        <v>1</v>
      </c>
      <c r="G74" s="106"/>
      <c r="H74" s="71" t="s">
        <v>261</v>
      </c>
      <c r="I74" s="13" t="s">
        <v>48</v>
      </c>
      <c r="J74" s="26">
        <v>25</v>
      </c>
      <c r="K74" s="111">
        <f>IF((J76="NA"),"NA",((J76/F74)*10))</f>
        <v>10</v>
      </c>
      <c r="L74" s="72"/>
      <c r="M74" s="161"/>
      <c r="N74" s="158"/>
      <c r="O74" s="86"/>
      <c r="P74" s="149"/>
    </row>
    <row r="75" spans="2:16" ht="34.5" customHeight="1" thickBot="1" x14ac:dyDescent="0.25">
      <c r="B75" s="119"/>
      <c r="C75" s="92"/>
      <c r="D75" s="92"/>
      <c r="E75" s="79"/>
      <c r="F75" s="106"/>
      <c r="G75" s="106"/>
      <c r="H75" s="72"/>
      <c r="I75" s="15" t="s">
        <v>47</v>
      </c>
      <c r="J75" s="27">
        <v>25</v>
      </c>
      <c r="K75" s="111"/>
      <c r="L75" s="72"/>
      <c r="M75" s="161"/>
      <c r="N75" s="158"/>
      <c r="O75" s="86"/>
      <c r="P75" s="149"/>
    </row>
    <row r="76" spans="2:16" ht="36" customHeight="1" thickBot="1" x14ac:dyDescent="0.25">
      <c r="B76" s="119"/>
      <c r="C76" s="93"/>
      <c r="D76" s="93"/>
      <c r="E76" s="75"/>
      <c r="F76" s="106"/>
      <c r="G76" s="106"/>
      <c r="H76" s="73"/>
      <c r="I76" s="16" t="s">
        <v>49</v>
      </c>
      <c r="J76" s="6">
        <f>IF(AND(H74="Si"),(J74/J75),"NA")</f>
        <v>1</v>
      </c>
      <c r="K76" s="111"/>
      <c r="L76" s="72"/>
      <c r="M76" s="161"/>
      <c r="N76" s="158"/>
      <c r="O76" s="86"/>
      <c r="P76" s="149"/>
    </row>
    <row r="77" spans="2:16" ht="38.25" customHeight="1" thickBot="1" x14ac:dyDescent="0.25">
      <c r="B77" s="119"/>
      <c r="C77" s="92" t="s">
        <v>18</v>
      </c>
      <c r="D77" s="80" t="s">
        <v>157</v>
      </c>
      <c r="E77" s="80" t="s">
        <v>87</v>
      </c>
      <c r="F77" s="101">
        <v>1</v>
      </c>
      <c r="G77" s="82"/>
      <c r="H77" s="71" t="s">
        <v>261</v>
      </c>
      <c r="I77" s="13" t="s">
        <v>48</v>
      </c>
      <c r="J77" s="26">
        <v>90</v>
      </c>
      <c r="K77" s="111">
        <f>IF((J79="NA"),"NA",((J79/F77)*10))</f>
        <v>9.375</v>
      </c>
      <c r="L77" s="72"/>
      <c r="M77" s="161"/>
      <c r="N77" s="158"/>
      <c r="O77" s="86"/>
      <c r="P77" s="149"/>
    </row>
    <row r="78" spans="2:16" ht="36.75" customHeight="1" thickBot="1" x14ac:dyDescent="0.25">
      <c r="B78" s="119"/>
      <c r="C78" s="92"/>
      <c r="D78" s="92"/>
      <c r="E78" s="79"/>
      <c r="F78" s="83"/>
      <c r="G78" s="84"/>
      <c r="H78" s="72"/>
      <c r="I78" s="15" t="s">
        <v>47</v>
      </c>
      <c r="J78" s="27">
        <v>96</v>
      </c>
      <c r="K78" s="111"/>
      <c r="L78" s="72"/>
      <c r="M78" s="161"/>
      <c r="N78" s="158"/>
      <c r="O78" s="86"/>
      <c r="P78" s="149"/>
    </row>
    <row r="79" spans="2:16" ht="39.75" customHeight="1" thickBot="1" x14ac:dyDescent="0.25">
      <c r="B79" s="119"/>
      <c r="C79" s="92"/>
      <c r="D79" s="93"/>
      <c r="E79" s="75"/>
      <c r="F79" s="102"/>
      <c r="G79" s="103"/>
      <c r="H79" s="73"/>
      <c r="I79" s="16" t="s">
        <v>49</v>
      </c>
      <c r="J79" s="6">
        <f>IF(AND(H77="Si"),(J77/J78),"NA")</f>
        <v>0.9375</v>
      </c>
      <c r="K79" s="111"/>
      <c r="L79" s="72"/>
      <c r="M79" s="161"/>
      <c r="N79" s="158"/>
      <c r="O79" s="86"/>
      <c r="P79" s="149"/>
    </row>
    <row r="80" spans="2:16" ht="34.5" customHeight="1" thickBot="1" x14ac:dyDescent="0.25">
      <c r="B80" s="119"/>
      <c r="C80" s="92"/>
      <c r="D80" s="80" t="s">
        <v>158</v>
      </c>
      <c r="E80" s="80" t="s">
        <v>88</v>
      </c>
      <c r="F80" s="101">
        <v>0</v>
      </c>
      <c r="G80" s="82"/>
      <c r="H80" s="71" t="s">
        <v>262</v>
      </c>
      <c r="I80" s="13" t="s">
        <v>48</v>
      </c>
      <c r="J80" s="26"/>
      <c r="K80" s="104" t="str">
        <f>IF((J82="NA"),"NA",((1-J82)*10))</f>
        <v>NA</v>
      </c>
      <c r="L80" s="72"/>
      <c r="M80" s="161"/>
      <c r="N80" s="158"/>
      <c r="O80" s="86"/>
      <c r="P80" s="149"/>
    </row>
    <row r="81" spans="2:17" ht="35.25" customHeight="1" thickBot="1" x14ac:dyDescent="0.25">
      <c r="B81" s="119"/>
      <c r="C81" s="92"/>
      <c r="D81" s="92"/>
      <c r="E81" s="79"/>
      <c r="F81" s="83"/>
      <c r="G81" s="84"/>
      <c r="H81" s="72"/>
      <c r="I81" s="15" t="s">
        <v>47</v>
      </c>
      <c r="J81" s="27"/>
      <c r="K81" s="104"/>
      <c r="L81" s="72"/>
      <c r="M81" s="161"/>
      <c r="N81" s="158"/>
      <c r="O81" s="86"/>
      <c r="P81" s="149"/>
    </row>
    <row r="82" spans="2:17" ht="33.75" customHeight="1" thickBot="1" x14ac:dyDescent="0.25">
      <c r="B82" s="119"/>
      <c r="C82" s="92"/>
      <c r="D82" s="93"/>
      <c r="E82" s="75"/>
      <c r="F82" s="102"/>
      <c r="G82" s="103"/>
      <c r="H82" s="73"/>
      <c r="I82" s="16" t="s">
        <v>33</v>
      </c>
      <c r="J82" s="6" t="str">
        <f>IF(AND(H80="Si"),((J80/J81)),"NA")</f>
        <v>NA</v>
      </c>
      <c r="K82" s="104"/>
      <c r="L82" s="72"/>
      <c r="M82" s="161"/>
      <c r="N82" s="158"/>
      <c r="O82" s="86"/>
      <c r="P82" s="149"/>
    </row>
    <row r="83" spans="2:17" ht="34.5" customHeight="1" thickBot="1" x14ac:dyDescent="0.25">
      <c r="B83" s="119"/>
      <c r="C83" s="92"/>
      <c r="D83" s="80" t="s">
        <v>248</v>
      </c>
      <c r="E83" s="80" t="s">
        <v>89</v>
      </c>
      <c r="F83" s="101">
        <v>1</v>
      </c>
      <c r="G83" s="82"/>
      <c r="H83" s="71" t="s">
        <v>262</v>
      </c>
      <c r="I83" s="13" t="s">
        <v>48</v>
      </c>
      <c r="J83" s="26"/>
      <c r="K83" s="111" t="str">
        <f>IF((J85="NA"),"NA",((J85/F83)*10))</f>
        <v>NA</v>
      </c>
      <c r="L83" s="72"/>
      <c r="M83" s="161"/>
      <c r="N83" s="158"/>
      <c r="O83" s="86"/>
      <c r="P83" s="149"/>
    </row>
    <row r="84" spans="2:17" ht="34.5" customHeight="1" thickBot="1" x14ac:dyDescent="0.25">
      <c r="B84" s="119"/>
      <c r="C84" s="92"/>
      <c r="D84" s="92"/>
      <c r="E84" s="79"/>
      <c r="F84" s="83"/>
      <c r="G84" s="84"/>
      <c r="H84" s="72"/>
      <c r="I84" s="15" t="s">
        <v>47</v>
      </c>
      <c r="J84" s="27"/>
      <c r="K84" s="111"/>
      <c r="L84" s="72"/>
      <c r="M84" s="161"/>
      <c r="N84" s="158"/>
      <c r="O84" s="86"/>
      <c r="P84" s="149"/>
    </row>
    <row r="85" spans="2:17" ht="34.5" customHeight="1" thickBot="1" x14ac:dyDescent="0.25">
      <c r="B85" s="119"/>
      <c r="C85" s="93"/>
      <c r="D85" s="93"/>
      <c r="E85" s="75"/>
      <c r="F85" s="102"/>
      <c r="G85" s="103"/>
      <c r="H85" s="73"/>
      <c r="I85" s="16" t="s">
        <v>49</v>
      </c>
      <c r="J85" s="6" t="str">
        <f>IF(AND(H83="Si"),(J83/J84),"NA")</f>
        <v>NA</v>
      </c>
      <c r="K85" s="111"/>
      <c r="L85" s="72"/>
      <c r="M85" s="161"/>
      <c r="N85" s="158"/>
      <c r="O85" s="86"/>
      <c r="P85" s="149"/>
    </row>
    <row r="86" spans="2:17" ht="34.5" customHeight="1" thickBot="1" x14ac:dyDescent="0.25">
      <c r="B86" s="119"/>
      <c r="C86" s="92" t="s">
        <v>44</v>
      </c>
      <c r="D86" s="80" t="s">
        <v>249</v>
      </c>
      <c r="E86" s="80" t="s">
        <v>90</v>
      </c>
      <c r="F86" s="101">
        <v>1</v>
      </c>
      <c r="G86" s="82"/>
      <c r="H86" s="71" t="s">
        <v>262</v>
      </c>
      <c r="I86" s="13" t="s">
        <v>48</v>
      </c>
      <c r="J86" s="26"/>
      <c r="K86" s="111" t="str">
        <f>IF((J88="NA"),"NA",((J88/F86)*10))</f>
        <v>NA</v>
      </c>
      <c r="L86" s="72"/>
      <c r="M86" s="161"/>
      <c r="N86" s="158"/>
      <c r="O86" s="86"/>
      <c r="P86" s="149"/>
    </row>
    <row r="87" spans="2:17" ht="34.5" customHeight="1" thickBot="1" x14ac:dyDescent="0.25">
      <c r="B87" s="119"/>
      <c r="C87" s="92"/>
      <c r="D87" s="92"/>
      <c r="E87" s="79"/>
      <c r="F87" s="83"/>
      <c r="G87" s="84"/>
      <c r="H87" s="72"/>
      <c r="I87" s="15" t="s">
        <v>47</v>
      </c>
      <c r="J87" s="27"/>
      <c r="K87" s="111"/>
      <c r="L87" s="72"/>
      <c r="M87" s="161"/>
      <c r="N87" s="158"/>
      <c r="O87" s="86"/>
      <c r="P87" s="149"/>
    </row>
    <row r="88" spans="2:17" ht="34.5" customHeight="1" thickBot="1" x14ac:dyDescent="0.25">
      <c r="B88" s="119"/>
      <c r="C88" s="92"/>
      <c r="D88" s="93"/>
      <c r="E88" s="75"/>
      <c r="F88" s="102"/>
      <c r="G88" s="103"/>
      <c r="H88" s="73"/>
      <c r="I88" s="16" t="s">
        <v>49</v>
      </c>
      <c r="J88" s="6" t="str">
        <f>IF(AND(H86="Si"),(J86/J87),"NA")</f>
        <v>NA</v>
      </c>
      <c r="K88" s="111"/>
      <c r="L88" s="72"/>
      <c r="M88" s="161"/>
      <c r="N88" s="158"/>
      <c r="O88" s="86"/>
      <c r="P88" s="149"/>
      <c r="Q88" s="151" t="str">
        <f>IF(N170=100%," ","ERROR:
Revisar la columna PORCENTAJE DE IMPORTANCIA, los valores que fueron ingresados en las distintas celdas no deben sobrepasar el 100%")</f>
        <v xml:space="preserve"> </v>
      </c>
    </row>
    <row r="89" spans="2:17" ht="34.5" customHeight="1" thickBot="1" x14ac:dyDescent="0.25">
      <c r="B89" s="119"/>
      <c r="C89" s="92"/>
      <c r="D89" s="80" t="s">
        <v>250</v>
      </c>
      <c r="E89" s="80" t="s">
        <v>92</v>
      </c>
      <c r="F89" s="101">
        <v>1</v>
      </c>
      <c r="G89" s="82"/>
      <c r="H89" s="71" t="s">
        <v>262</v>
      </c>
      <c r="I89" s="13" t="s">
        <v>48</v>
      </c>
      <c r="J89" s="26"/>
      <c r="K89" s="111" t="str">
        <f>IF((J91="NA"),"NA",((J91/F89)*10))</f>
        <v>NA</v>
      </c>
      <c r="L89" s="72"/>
      <c r="M89" s="161"/>
      <c r="N89" s="158"/>
      <c r="O89" s="86"/>
      <c r="P89" s="149"/>
      <c r="Q89" s="151"/>
    </row>
    <row r="90" spans="2:17" ht="34.5" customHeight="1" thickBot="1" x14ac:dyDescent="0.25">
      <c r="B90" s="119"/>
      <c r="C90" s="92"/>
      <c r="D90" s="92"/>
      <c r="E90" s="79"/>
      <c r="F90" s="83"/>
      <c r="G90" s="84"/>
      <c r="H90" s="72"/>
      <c r="I90" s="15" t="s">
        <v>47</v>
      </c>
      <c r="J90" s="27"/>
      <c r="K90" s="111"/>
      <c r="L90" s="72"/>
      <c r="M90" s="161"/>
      <c r="N90" s="158"/>
      <c r="O90" s="86"/>
      <c r="P90" s="149"/>
      <c r="Q90" s="151"/>
    </row>
    <row r="91" spans="2:17" ht="45" customHeight="1" thickBot="1" x14ac:dyDescent="0.25">
      <c r="B91" s="119"/>
      <c r="C91" s="93"/>
      <c r="D91" s="93"/>
      <c r="E91" s="75"/>
      <c r="F91" s="102"/>
      <c r="G91" s="103"/>
      <c r="H91" s="73"/>
      <c r="I91" s="16" t="s">
        <v>49</v>
      </c>
      <c r="J91" s="6" t="str">
        <f>IF(AND(H89="Si"),(J89/J90),"NA")</f>
        <v>NA</v>
      </c>
      <c r="K91" s="111"/>
      <c r="L91" s="72"/>
      <c r="M91" s="161"/>
      <c r="N91" s="158"/>
      <c r="O91" s="86"/>
      <c r="P91" s="149"/>
    </row>
    <row r="92" spans="2:17" ht="34.5" customHeight="1" thickBot="1" x14ac:dyDescent="0.25">
      <c r="B92" s="119"/>
      <c r="C92" s="80" t="s">
        <v>91</v>
      </c>
      <c r="D92" s="80" t="s">
        <v>251</v>
      </c>
      <c r="E92" s="80" t="s">
        <v>93</v>
      </c>
      <c r="F92" s="101">
        <v>1</v>
      </c>
      <c r="G92" s="82"/>
      <c r="H92" s="71" t="s">
        <v>261</v>
      </c>
      <c r="I92" s="13" t="s">
        <v>48</v>
      </c>
      <c r="J92" s="26">
        <v>0</v>
      </c>
      <c r="K92" s="111">
        <f>IF((J94="NA"),"NA",((J94/F92)*10))</f>
        <v>0</v>
      </c>
      <c r="L92" s="72"/>
      <c r="M92" s="161"/>
      <c r="N92" s="158"/>
      <c r="O92" s="86"/>
      <c r="P92" s="149"/>
    </row>
    <row r="93" spans="2:17" ht="34.5" customHeight="1" thickBot="1" x14ac:dyDescent="0.25">
      <c r="B93" s="119"/>
      <c r="C93" s="92"/>
      <c r="D93" s="92"/>
      <c r="E93" s="79"/>
      <c r="F93" s="83"/>
      <c r="G93" s="84"/>
      <c r="H93" s="72"/>
      <c r="I93" s="15" t="s">
        <v>47</v>
      </c>
      <c r="J93" s="27">
        <v>76</v>
      </c>
      <c r="K93" s="111"/>
      <c r="L93" s="72"/>
      <c r="M93" s="161"/>
      <c r="N93" s="158"/>
      <c r="O93" s="86"/>
      <c r="P93" s="149"/>
    </row>
    <row r="94" spans="2:17" ht="34.5" customHeight="1" thickBot="1" x14ac:dyDescent="0.25">
      <c r="B94" s="119"/>
      <c r="C94" s="93"/>
      <c r="D94" s="93"/>
      <c r="E94" s="75"/>
      <c r="F94" s="102"/>
      <c r="G94" s="103"/>
      <c r="H94" s="73"/>
      <c r="I94" s="16" t="s">
        <v>49</v>
      </c>
      <c r="J94" s="6">
        <f>IF(AND(H92="Si"),(J92/J93),"NA")</f>
        <v>0</v>
      </c>
      <c r="K94" s="111"/>
      <c r="L94" s="72"/>
      <c r="M94" s="161"/>
      <c r="N94" s="158"/>
      <c r="O94" s="86"/>
      <c r="P94" s="149"/>
    </row>
    <row r="95" spans="2:17" ht="34.5" customHeight="1" thickBot="1" x14ac:dyDescent="0.25">
      <c r="B95" s="119"/>
      <c r="C95" s="80" t="s">
        <v>94</v>
      </c>
      <c r="D95" s="80" t="s">
        <v>95</v>
      </c>
      <c r="E95" s="80" t="s">
        <v>96</v>
      </c>
      <c r="F95" s="101">
        <v>1</v>
      </c>
      <c r="G95" s="82"/>
      <c r="H95" s="71" t="s">
        <v>262</v>
      </c>
      <c r="I95" s="13" t="s">
        <v>48</v>
      </c>
      <c r="J95" s="26"/>
      <c r="K95" s="111" t="str">
        <f>IF((J97="NA"),"NA",((J97/F95)*10))</f>
        <v>NA</v>
      </c>
      <c r="L95" s="72"/>
      <c r="M95" s="161"/>
      <c r="N95" s="158"/>
      <c r="O95" s="86"/>
      <c r="P95" s="149"/>
    </row>
    <row r="96" spans="2:17" ht="34.5" customHeight="1" thickBot="1" x14ac:dyDescent="0.25">
      <c r="B96" s="119"/>
      <c r="C96" s="92"/>
      <c r="D96" s="92"/>
      <c r="E96" s="79"/>
      <c r="F96" s="83"/>
      <c r="G96" s="84"/>
      <c r="H96" s="72"/>
      <c r="I96" s="15" t="s">
        <v>47</v>
      </c>
      <c r="J96" s="27"/>
      <c r="K96" s="111"/>
      <c r="L96" s="72"/>
      <c r="M96" s="161"/>
      <c r="N96" s="158"/>
      <c r="O96" s="86"/>
      <c r="P96" s="149"/>
    </row>
    <row r="97" spans="2:16" ht="34.5" customHeight="1" thickBot="1" x14ac:dyDescent="0.25">
      <c r="B97" s="120"/>
      <c r="C97" s="93"/>
      <c r="D97" s="93"/>
      <c r="E97" s="75"/>
      <c r="F97" s="102"/>
      <c r="G97" s="103"/>
      <c r="H97" s="73"/>
      <c r="I97" s="16" t="s">
        <v>49</v>
      </c>
      <c r="J97" s="6" t="str">
        <f>IF(AND(H95="Si"),(J95/J96),"NA")</f>
        <v>NA</v>
      </c>
      <c r="K97" s="111"/>
      <c r="L97" s="73"/>
      <c r="M97" s="162"/>
      <c r="N97" s="159"/>
      <c r="O97" s="100"/>
      <c r="P97" s="149"/>
    </row>
    <row r="98" spans="2:16" ht="5.25" customHeight="1" thickBot="1" x14ac:dyDescent="0.25">
      <c r="B98" s="96"/>
      <c r="C98" s="97"/>
      <c r="D98" s="97"/>
      <c r="E98" s="97"/>
      <c r="F98" s="97"/>
      <c r="G98" s="97"/>
      <c r="H98" s="97"/>
      <c r="I98" s="97"/>
      <c r="J98" s="97"/>
      <c r="K98" s="97"/>
      <c r="L98" s="97"/>
      <c r="M98" s="97"/>
      <c r="N98" s="97"/>
      <c r="O98" s="98"/>
      <c r="P98" s="149"/>
    </row>
    <row r="99" spans="2:16" ht="30.75" customHeight="1" thickBot="1" x14ac:dyDescent="0.25">
      <c r="B99" s="117" t="s">
        <v>7</v>
      </c>
      <c r="C99" s="80" t="s">
        <v>97</v>
      </c>
      <c r="D99" s="80" t="s">
        <v>98</v>
      </c>
      <c r="E99" s="80" t="s">
        <v>99</v>
      </c>
      <c r="F99" s="101">
        <v>1</v>
      </c>
      <c r="G99" s="82"/>
      <c r="H99" s="71" t="s">
        <v>262</v>
      </c>
      <c r="I99" s="13" t="s">
        <v>48</v>
      </c>
      <c r="J99" s="26"/>
      <c r="K99" s="111" t="str">
        <f>IF((J101="NA"),"NA",((J101/F99)*10))</f>
        <v>NA</v>
      </c>
      <c r="L99" s="85">
        <f>IF(AND(H99="No",H102="No",H105="No",H108="No",H111="No"),0,AVERAGE(K99:K115))</f>
        <v>10</v>
      </c>
      <c r="M99" s="160" t="s">
        <v>224</v>
      </c>
      <c r="N99" s="157">
        <v>0.05</v>
      </c>
      <c r="O99" s="85">
        <f>L99*N99</f>
        <v>0.5</v>
      </c>
      <c r="P99" s="149"/>
    </row>
    <row r="100" spans="2:16" ht="32.25" customHeight="1" thickBot="1" x14ac:dyDescent="0.25">
      <c r="B100" s="117"/>
      <c r="C100" s="92"/>
      <c r="D100" s="92"/>
      <c r="E100" s="79"/>
      <c r="F100" s="83"/>
      <c r="G100" s="84"/>
      <c r="H100" s="72"/>
      <c r="I100" s="15" t="s">
        <v>47</v>
      </c>
      <c r="J100" s="27"/>
      <c r="K100" s="111"/>
      <c r="L100" s="72"/>
      <c r="M100" s="161"/>
      <c r="N100" s="158"/>
      <c r="O100" s="86"/>
      <c r="P100" s="149"/>
    </row>
    <row r="101" spans="2:16" ht="33" customHeight="1" thickBot="1" x14ac:dyDescent="0.25">
      <c r="B101" s="117"/>
      <c r="C101" s="92"/>
      <c r="D101" s="93"/>
      <c r="E101" s="75"/>
      <c r="F101" s="102"/>
      <c r="G101" s="103"/>
      <c r="H101" s="73"/>
      <c r="I101" s="16" t="s">
        <v>49</v>
      </c>
      <c r="J101" s="6" t="str">
        <f>IF(AND(H99="Si"),(J99/J100),"NA")</f>
        <v>NA</v>
      </c>
      <c r="K101" s="111"/>
      <c r="L101" s="72"/>
      <c r="M101" s="161"/>
      <c r="N101" s="158"/>
      <c r="O101" s="86"/>
      <c r="P101" s="149"/>
    </row>
    <row r="102" spans="2:16" ht="42" customHeight="1" thickBot="1" x14ac:dyDescent="0.25">
      <c r="B102" s="117"/>
      <c r="C102" s="92"/>
      <c r="D102" s="80" t="s">
        <v>100</v>
      </c>
      <c r="E102" s="80" t="s">
        <v>101</v>
      </c>
      <c r="F102" s="101">
        <v>1</v>
      </c>
      <c r="G102" s="82"/>
      <c r="H102" s="71" t="s">
        <v>262</v>
      </c>
      <c r="I102" s="13" t="s">
        <v>48</v>
      </c>
      <c r="J102" s="26"/>
      <c r="K102" s="111" t="str">
        <f>IF((J104="NA"),"NA",((J104/F102)*10))</f>
        <v>NA</v>
      </c>
      <c r="L102" s="72"/>
      <c r="M102" s="161"/>
      <c r="N102" s="158"/>
      <c r="O102" s="86"/>
      <c r="P102" s="149"/>
    </row>
    <row r="103" spans="2:16" ht="39" customHeight="1" thickBot="1" x14ac:dyDescent="0.25">
      <c r="B103" s="117"/>
      <c r="C103" s="92"/>
      <c r="D103" s="92"/>
      <c r="E103" s="79"/>
      <c r="F103" s="83"/>
      <c r="G103" s="84"/>
      <c r="H103" s="72"/>
      <c r="I103" s="15" t="s">
        <v>47</v>
      </c>
      <c r="J103" s="27"/>
      <c r="K103" s="111"/>
      <c r="L103" s="72"/>
      <c r="M103" s="161"/>
      <c r="N103" s="158"/>
      <c r="O103" s="86"/>
      <c r="P103" s="149"/>
    </row>
    <row r="104" spans="2:16" ht="40.5" customHeight="1" thickBot="1" x14ac:dyDescent="0.25">
      <c r="B104" s="117"/>
      <c r="C104" s="93"/>
      <c r="D104" s="93"/>
      <c r="E104" s="75"/>
      <c r="F104" s="102"/>
      <c r="G104" s="103"/>
      <c r="H104" s="73"/>
      <c r="I104" s="16" t="s">
        <v>49</v>
      </c>
      <c r="J104" s="6" t="str">
        <f>IF(AND(H102="Si"),(J102/J103),"NA")</f>
        <v>NA</v>
      </c>
      <c r="K104" s="111"/>
      <c r="L104" s="72"/>
      <c r="M104" s="161"/>
      <c r="N104" s="158"/>
      <c r="O104" s="86"/>
      <c r="P104" s="149"/>
    </row>
    <row r="105" spans="2:16" ht="33" customHeight="1" thickBot="1" x14ac:dyDescent="0.25">
      <c r="B105" s="117"/>
      <c r="C105" s="80" t="s">
        <v>103</v>
      </c>
      <c r="D105" s="80" t="s">
        <v>102</v>
      </c>
      <c r="E105" s="80" t="s">
        <v>104</v>
      </c>
      <c r="F105" s="101">
        <v>0</v>
      </c>
      <c r="G105" s="82"/>
      <c r="H105" s="71" t="s">
        <v>262</v>
      </c>
      <c r="I105" s="13" t="s">
        <v>48</v>
      </c>
      <c r="J105" s="26"/>
      <c r="K105" s="104" t="str">
        <f>IF((J107="NA"),"NA",((1-J107)*10))</f>
        <v>NA</v>
      </c>
      <c r="L105" s="72"/>
      <c r="M105" s="161"/>
      <c r="N105" s="158"/>
      <c r="O105" s="86"/>
      <c r="P105" s="149"/>
    </row>
    <row r="106" spans="2:16" ht="33" customHeight="1" thickBot="1" x14ac:dyDescent="0.25">
      <c r="B106" s="117"/>
      <c r="C106" s="92"/>
      <c r="D106" s="92"/>
      <c r="E106" s="79"/>
      <c r="F106" s="83"/>
      <c r="G106" s="84"/>
      <c r="H106" s="72"/>
      <c r="I106" s="15" t="s">
        <v>47</v>
      </c>
      <c r="J106" s="27"/>
      <c r="K106" s="104"/>
      <c r="L106" s="72"/>
      <c r="M106" s="161"/>
      <c r="N106" s="158"/>
      <c r="O106" s="86"/>
      <c r="P106" s="149"/>
    </row>
    <row r="107" spans="2:16" ht="33" customHeight="1" thickBot="1" x14ac:dyDescent="0.25">
      <c r="B107" s="117"/>
      <c r="C107" s="93"/>
      <c r="D107" s="93"/>
      <c r="E107" s="75"/>
      <c r="F107" s="102"/>
      <c r="G107" s="103"/>
      <c r="H107" s="73"/>
      <c r="I107" s="16" t="s">
        <v>33</v>
      </c>
      <c r="J107" s="6" t="str">
        <f>IF(AND(H105="Si"),((J105/J106)),"NA")</f>
        <v>NA</v>
      </c>
      <c r="K107" s="104"/>
      <c r="L107" s="72"/>
      <c r="M107" s="161"/>
      <c r="N107" s="158"/>
      <c r="O107" s="86"/>
      <c r="P107" s="149"/>
    </row>
    <row r="108" spans="2:16" ht="33" customHeight="1" thickBot="1" x14ac:dyDescent="0.25">
      <c r="B108" s="117"/>
      <c r="C108" s="80" t="s">
        <v>45</v>
      </c>
      <c r="D108" s="80" t="s">
        <v>27</v>
      </c>
      <c r="E108" s="80" t="s">
        <v>105</v>
      </c>
      <c r="F108" s="101">
        <v>1</v>
      </c>
      <c r="G108" s="82"/>
      <c r="H108" s="71" t="s">
        <v>262</v>
      </c>
      <c r="I108" s="13" t="s">
        <v>48</v>
      </c>
      <c r="J108" s="26"/>
      <c r="K108" s="111" t="str">
        <f>IF((J110="NA"),"NA",((J110/F108)*10))</f>
        <v>NA</v>
      </c>
      <c r="L108" s="72"/>
      <c r="M108" s="161"/>
      <c r="N108" s="158"/>
      <c r="O108" s="86"/>
      <c r="P108" s="149"/>
    </row>
    <row r="109" spans="2:16" ht="30.75" customHeight="1" thickBot="1" x14ac:dyDescent="0.25">
      <c r="B109" s="117"/>
      <c r="C109" s="92"/>
      <c r="D109" s="92"/>
      <c r="E109" s="79"/>
      <c r="F109" s="83"/>
      <c r="G109" s="84"/>
      <c r="H109" s="72"/>
      <c r="I109" s="15" t="s">
        <v>47</v>
      </c>
      <c r="J109" s="27"/>
      <c r="K109" s="111"/>
      <c r="L109" s="72"/>
      <c r="M109" s="161"/>
      <c r="N109" s="158"/>
      <c r="O109" s="86"/>
      <c r="P109" s="149"/>
    </row>
    <row r="110" spans="2:16" ht="30.75" customHeight="1" thickBot="1" x14ac:dyDescent="0.25">
      <c r="B110" s="117"/>
      <c r="C110" s="93"/>
      <c r="D110" s="93"/>
      <c r="E110" s="75"/>
      <c r="F110" s="102"/>
      <c r="G110" s="103"/>
      <c r="H110" s="73"/>
      <c r="I110" s="16" t="s">
        <v>49</v>
      </c>
      <c r="J110" s="6" t="str">
        <f>IF(AND(H108="Si"),(J108/J109),"NA")</f>
        <v>NA</v>
      </c>
      <c r="K110" s="111"/>
      <c r="L110" s="72"/>
      <c r="M110" s="161"/>
      <c r="N110" s="158"/>
      <c r="O110" s="86"/>
      <c r="P110" s="149"/>
    </row>
    <row r="111" spans="2:16" ht="32.25" customHeight="1" thickBot="1" x14ac:dyDescent="0.25">
      <c r="B111" s="117"/>
      <c r="C111" s="80" t="s">
        <v>106</v>
      </c>
      <c r="D111" s="89" t="s">
        <v>107</v>
      </c>
      <c r="E111" s="143" t="s">
        <v>279</v>
      </c>
      <c r="F111" s="101">
        <v>1</v>
      </c>
      <c r="G111" s="82"/>
      <c r="H111" s="71" t="s">
        <v>261</v>
      </c>
      <c r="I111" s="13" t="s">
        <v>48</v>
      </c>
      <c r="J111" s="26">
        <v>5</v>
      </c>
      <c r="K111" s="111">
        <f>IF((J113="NA"),"NA",((J113/F111)*10))</f>
        <v>10</v>
      </c>
      <c r="L111" s="72"/>
      <c r="M111" s="161"/>
      <c r="N111" s="158"/>
      <c r="O111" s="86"/>
      <c r="P111" s="149"/>
    </row>
    <row r="112" spans="2:16" ht="34.5" customHeight="1" thickBot="1" x14ac:dyDescent="0.25">
      <c r="B112" s="117"/>
      <c r="C112" s="92"/>
      <c r="D112" s="94"/>
      <c r="E112" s="144"/>
      <c r="F112" s="83"/>
      <c r="G112" s="84"/>
      <c r="H112" s="72"/>
      <c r="I112" s="15" t="s">
        <v>47</v>
      </c>
      <c r="J112" s="27">
        <v>5</v>
      </c>
      <c r="K112" s="111"/>
      <c r="L112" s="72"/>
      <c r="M112" s="161"/>
      <c r="N112" s="158"/>
      <c r="O112" s="86"/>
      <c r="P112" s="149"/>
    </row>
    <row r="113" spans="2:16" ht="39" customHeight="1" thickBot="1" x14ac:dyDescent="0.25">
      <c r="B113" s="117"/>
      <c r="C113" s="93"/>
      <c r="D113" s="95"/>
      <c r="E113" s="145"/>
      <c r="F113" s="102"/>
      <c r="G113" s="103"/>
      <c r="H113" s="73"/>
      <c r="I113" s="16" t="s">
        <v>49</v>
      </c>
      <c r="J113" s="6">
        <f>IF(AND(H111="Si"),(J111/J112),"NA")</f>
        <v>1</v>
      </c>
      <c r="K113" s="111"/>
      <c r="L113" s="72"/>
      <c r="M113" s="161"/>
      <c r="N113" s="158"/>
      <c r="O113" s="86"/>
      <c r="P113" s="149"/>
    </row>
    <row r="114" spans="2:16" ht="23.25" customHeight="1" thickBot="1" x14ac:dyDescent="0.25">
      <c r="B114" s="117"/>
      <c r="C114" s="89" t="s">
        <v>19</v>
      </c>
      <c r="D114" s="89" t="s">
        <v>108</v>
      </c>
      <c r="E114" s="89" t="s">
        <v>109</v>
      </c>
      <c r="F114" s="139" t="s">
        <v>265</v>
      </c>
      <c r="G114" s="140"/>
      <c r="H114" s="74" t="s">
        <v>262</v>
      </c>
      <c r="I114" s="13" t="s">
        <v>48</v>
      </c>
      <c r="J114" s="41"/>
      <c r="K114" s="85" t="str">
        <f>IF((J115="NA"),"NA",IF(J115&gt;3,10,((J115/3)*10)))</f>
        <v>NA</v>
      </c>
      <c r="L114" s="72"/>
      <c r="M114" s="161"/>
      <c r="N114" s="158"/>
      <c r="O114" s="86"/>
      <c r="P114" s="149"/>
    </row>
    <row r="115" spans="2:16" ht="24.75" customHeight="1" thickBot="1" x14ac:dyDescent="0.25">
      <c r="B115" s="117"/>
      <c r="C115" s="94"/>
      <c r="D115" s="94"/>
      <c r="E115" s="95"/>
      <c r="F115" s="141"/>
      <c r="G115" s="142"/>
      <c r="H115" s="75"/>
      <c r="I115" s="15" t="s">
        <v>49</v>
      </c>
      <c r="J115" s="40" t="str">
        <f>IF(H114="Si",(J114),"NA")</f>
        <v>NA</v>
      </c>
      <c r="K115" s="86"/>
      <c r="L115" s="73"/>
      <c r="M115" s="162"/>
      <c r="N115" s="159"/>
      <c r="O115" s="100"/>
      <c r="P115" s="149"/>
    </row>
    <row r="116" spans="2:16" ht="5.25" customHeight="1" thickBot="1" x14ac:dyDescent="0.25">
      <c r="B116" s="96"/>
      <c r="C116" s="97"/>
      <c r="D116" s="97"/>
      <c r="E116" s="97"/>
      <c r="F116" s="97"/>
      <c r="G116" s="97"/>
      <c r="H116" s="97"/>
      <c r="I116" s="97"/>
      <c r="J116" s="97"/>
      <c r="K116" s="97"/>
      <c r="L116" s="97"/>
      <c r="M116" s="97"/>
      <c r="N116" s="97"/>
      <c r="O116" s="98"/>
      <c r="P116" s="149"/>
    </row>
    <row r="117" spans="2:16" ht="36" customHeight="1" thickBot="1" x14ac:dyDescent="0.25">
      <c r="B117" s="117" t="s">
        <v>8</v>
      </c>
      <c r="C117" s="80" t="s">
        <v>20</v>
      </c>
      <c r="D117" s="80" t="s">
        <v>28</v>
      </c>
      <c r="E117" s="80" t="s">
        <v>276</v>
      </c>
      <c r="F117" s="101">
        <v>1</v>
      </c>
      <c r="G117" s="82"/>
      <c r="H117" s="71" t="s">
        <v>261</v>
      </c>
      <c r="I117" s="13" t="s">
        <v>48</v>
      </c>
      <c r="J117" s="26">
        <v>4</v>
      </c>
      <c r="K117" s="111">
        <f>IF((J119="NA"),"NA",((J119/F117)*10))</f>
        <v>10</v>
      </c>
      <c r="L117" s="85">
        <f>IF(AND(H117="No",H120="No",H123="No"),0,AVERAGE(K117:K125))</f>
        <v>10</v>
      </c>
      <c r="M117" s="160" t="s">
        <v>257</v>
      </c>
      <c r="N117" s="157">
        <v>0.2</v>
      </c>
      <c r="O117" s="71">
        <f>L117*N117</f>
        <v>2</v>
      </c>
      <c r="P117" s="149"/>
    </row>
    <row r="118" spans="2:16" ht="39" customHeight="1" thickBot="1" x14ac:dyDescent="0.25">
      <c r="B118" s="117"/>
      <c r="C118" s="92"/>
      <c r="D118" s="92"/>
      <c r="E118" s="79"/>
      <c r="F118" s="83"/>
      <c r="G118" s="84"/>
      <c r="H118" s="72"/>
      <c r="I118" s="15" t="s">
        <v>47</v>
      </c>
      <c r="J118" s="27">
        <v>4</v>
      </c>
      <c r="K118" s="111"/>
      <c r="L118" s="72"/>
      <c r="M118" s="161"/>
      <c r="N118" s="158"/>
      <c r="O118" s="72"/>
      <c r="P118" s="149"/>
    </row>
    <row r="119" spans="2:16" ht="38.25" customHeight="1" thickBot="1" x14ac:dyDescent="0.25">
      <c r="B119" s="117"/>
      <c r="C119" s="93"/>
      <c r="D119" s="93"/>
      <c r="E119" s="75"/>
      <c r="F119" s="102"/>
      <c r="G119" s="103"/>
      <c r="H119" s="73"/>
      <c r="I119" s="16" t="s">
        <v>49</v>
      </c>
      <c r="J119" s="6">
        <f>IF(AND(H117="Si"),(J117/J118),"NA")</f>
        <v>1</v>
      </c>
      <c r="K119" s="111"/>
      <c r="L119" s="72"/>
      <c r="M119" s="161"/>
      <c r="N119" s="158"/>
      <c r="O119" s="72"/>
      <c r="P119" s="149"/>
    </row>
    <row r="120" spans="2:16" ht="30.75" customHeight="1" thickBot="1" x14ac:dyDescent="0.25">
      <c r="B120" s="117"/>
      <c r="C120" s="80" t="s">
        <v>29</v>
      </c>
      <c r="D120" s="80" t="s">
        <v>110</v>
      </c>
      <c r="E120" s="80" t="s">
        <v>111</v>
      </c>
      <c r="F120" s="101">
        <v>1</v>
      </c>
      <c r="G120" s="82"/>
      <c r="H120" s="71" t="s">
        <v>261</v>
      </c>
      <c r="I120" s="13" t="s">
        <v>48</v>
      </c>
      <c r="J120" s="26">
        <v>4</v>
      </c>
      <c r="K120" s="111">
        <f>IF((J122="NA"),"NA",((J122/F120)*10))</f>
        <v>10</v>
      </c>
      <c r="L120" s="72"/>
      <c r="M120" s="161"/>
      <c r="N120" s="158"/>
      <c r="O120" s="72"/>
      <c r="P120" s="149"/>
    </row>
    <row r="121" spans="2:16" ht="32.25" customHeight="1" thickBot="1" x14ac:dyDescent="0.25">
      <c r="B121" s="117"/>
      <c r="C121" s="92"/>
      <c r="D121" s="92"/>
      <c r="E121" s="79"/>
      <c r="F121" s="83"/>
      <c r="G121" s="84"/>
      <c r="H121" s="72"/>
      <c r="I121" s="15" t="s">
        <v>47</v>
      </c>
      <c r="J121" s="27">
        <v>4</v>
      </c>
      <c r="K121" s="111"/>
      <c r="L121" s="72"/>
      <c r="M121" s="161"/>
      <c r="N121" s="158"/>
      <c r="O121" s="72"/>
      <c r="P121" s="149"/>
    </row>
    <row r="122" spans="2:16" ht="36.75" customHeight="1" thickBot="1" x14ac:dyDescent="0.25">
      <c r="B122" s="117"/>
      <c r="C122" s="92"/>
      <c r="D122" s="93"/>
      <c r="E122" s="75"/>
      <c r="F122" s="102"/>
      <c r="G122" s="103"/>
      <c r="H122" s="73"/>
      <c r="I122" s="16" t="s">
        <v>49</v>
      </c>
      <c r="J122" s="6">
        <f>IF(AND(H120="Si"),(J120/J121),"NA")</f>
        <v>1</v>
      </c>
      <c r="K122" s="111"/>
      <c r="L122" s="72"/>
      <c r="M122" s="161"/>
      <c r="N122" s="158"/>
      <c r="O122" s="72"/>
      <c r="P122" s="149"/>
    </row>
    <row r="123" spans="2:16" ht="34.5" customHeight="1" thickBot="1" x14ac:dyDescent="0.25">
      <c r="B123" s="117"/>
      <c r="C123" s="92"/>
      <c r="D123" s="89" t="s">
        <v>112</v>
      </c>
      <c r="E123" s="80" t="s">
        <v>113</v>
      </c>
      <c r="F123" s="101">
        <v>1</v>
      </c>
      <c r="G123" s="82"/>
      <c r="H123" s="71" t="s">
        <v>262</v>
      </c>
      <c r="I123" s="13" t="s">
        <v>48</v>
      </c>
      <c r="J123" s="26"/>
      <c r="K123" s="111" t="str">
        <f>IF((J125="NA"),"NA",((J125/F123)*10))</f>
        <v>NA</v>
      </c>
      <c r="L123" s="72"/>
      <c r="M123" s="161"/>
      <c r="N123" s="158"/>
      <c r="O123" s="72"/>
      <c r="P123" s="149"/>
    </row>
    <row r="124" spans="2:16" ht="30" customHeight="1" thickBot="1" x14ac:dyDescent="0.25">
      <c r="B124" s="117"/>
      <c r="C124" s="92"/>
      <c r="D124" s="94"/>
      <c r="E124" s="79"/>
      <c r="F124" s="83"/>
      <c r="G124" s="84"/>
      <c r="H124" s="72"/>
      <c r="I124" s="15" t="s">
        <v>47</v>
      </c>
      <c r="J124" s="27"/>
      <c r="K124" s="111"/>
      <c r="L124" s="72"/>
      <c r="M124" s="161"/>
      <c r="N124" s="158"/>
      <c r="O124" s="72"/>
      <c r="P124" s="149"/>
    </row>
    <row r="125" spans="2:16" ht="44.25" customHeight="1" thickBot="1" x14ac:dyDescent="0.25">
      <c r="B125" s="117"/>
      <c r="C125" s="93"/>
      <c r="D125" s="95"/>
      <c r="E125" s="75"/>
      <c r="F125" s="102"/>
      <c r="G125" s="103"/>
      <c r="H125" s="73"/>
      <c r="I125" s="16" t="s">
        <v>49</v>
      </c>
      <c r="J125" s="6" t="str">
        <f>IF(AND(H123="Si"),(J123/J124),"NA")</f>
        <v>NA</v>
      </c>
      <c r="K125" s="111"/>
      <c r="L125" s="73"/>
      <c r="M125" s="162"/>
      <c r="N125" s="159"/>
      <c r="O125" s="73"/>
      <c r="P125" s="149"/>
    </row>
    <row r="126" spans="2:16" ht="5.25" customHeight="1" thickBot="1" x14ac:dyDescent="0.25">
      <c r="B126" s="96"/>
      <c r="C126" s="97"/>
      <c r="D126" s="97"/>
      <c r="E126" s="97"/>
      <c r="F126" s="97"/>
      <c r="G126" s="97"/>
      <c r="H126" s="97"/>
      <c r="I126" s="97"/>
      <c r="J126" s="97"/>
      <c r="K126" s="97"/>
      <c r="L126" s="97"/>
      <c r="M126" s="97"/>
      <c r="N126" s="97"/>
      <c r="O126" s="98"/>
      <c r="P126" s="149"/>
    </row>
    <row r="127" spans="2:16" ht="30" customHeight="1" thickBot="1" x14ac:dyDescent="0.25">
      <c r="B127" s="117" t="s">
        <v>9</v>
      </c>
      <c r="C127" s="80" t="s">
        <v>31</v>
      </c>
      <c r="D127" s="80" t="s">
        <v>120</v>
      </c>
      <c r="E127" s="80" t="s">
        <v>119</v>
      </c>
      <c r="F127" s="101">
        <v>1</v>
      </c>
      <c r="G127" s="82"/>
      <c r="H127" s="71" t="s">
        <v>261</v>
      </c>
      <c r="I127" s="13" t="s">
        <v>48</v>
      </c>
      <c r="J127" s="26">
        <v>21</v>
      </c>
      <c r="K127" s="111">
        <f>IF((J129="NA"),"NA",((J129/F127)*10))</f>
        <v>10</v>
      </c>
      <c r="L127" s="161">
        <f>IF(AND(H127="No",H130="No",H133="No",H136="No",H139="No",H142="No"),0,AVERAGE(K127:K144))</f>
        <v>10</v>
      </c>
      <c r="M127" s="74" t="s">
        <v>223</v>
      </c>
      <c r="N127" s="158">
        <v>0.12</v>
      </c>
      <c r="O127" s="86">
        <f>L127*N127</f>
        <v>1.2</v>
      </c>
      <c r="P127" s="149"/>
    </row>
    <row r="128" spans="2:16" ht="36" customHeight="1" thickBot="1" x14ac:dyDescent="0.25">
      <c r="B128" s="117"/>
      <c r="C128" s="92"/>
      <c r="D128" s="92"/>
      <c r="E128" s="79"/>
      <c r="F128" s="83"/>
      <c r="G128" s="84"/>
      <c r="H128" s="72"/>
      <c r="I128" s="15" t="s">
        <v>47</v>
      </c>
      <c r="J128" s="27">
        <v>21</v>
      </c>
      <c r="K128" s="111"/>
      <c r="L128" s="79"/>
      <c r="M128" s="79"/>
      <c r="N128" s="158"/>
      <c r="O128" s="86"/>
      <c r="P128" s="149"/>
    </row>
    <row r="129" spans="2:16" ht="37.5" customHeight="1" thickBot="1" x14ac:dyDescent="0.25">
      <c r="B129" s="117"/>
      <c r="C129" s="92"/>
      <c r="D129" s="93"/>
      <c r="E129" s="75"/>
      <c r="F129" s="102"/>
      <c r="G129" s="103"/>
      <c r="H129" s="73"/>
      <c r="I129" s="16" t="s">
        <v>49</v>
      </c>
      <c r="J129" s="6">
        <f>IF(AND(H127="Si"),(J127/J128),"NA")</f>
        <v>1</v>
      </c>
      <c r="K129" s="111"/>
      <c r="L129" s="79"/>
      <c r="M129" s="79"/>
      <c r="N129" s="158"/>
      <c r="O129" s="86"/>
      <c r="P129" s="149"/>
    </row>
    <row r="130" spans="2:16" ht="37.5" customHeight="1" thickBot="1" x14ac:dyDescent="0.25">
      <c r="B130" s="117"/>
      <c r="C130" s="92"/>
      <c r="D130" s="80" t="s">
        <v>121</v>
      </c>
      <c r="E130" s="80" t="s">
        <v>122</v>
      </c>
      <c r="F130" s="101">
        <v>1</v>
      </c>
      <c r="G130" s="82"/>
      <c r="H130" s="71" t="s">
        <v>262</v>
      </c>
      <c r="I130" s="13" t="s">
        <v>48</v>
      </c>
      <c r="J130" s="26"/>
      <c r="K130" s="111" t="str">
        <f>IF((J132="NA"),"NA",((J132/F130)*10))</f>
        <v>NA</v>
      </c>
      <c r="L130" s="79"/>
      <c r="M130" s="79"/>
      <c r="N130" s="158"/>
      <c r="O130" s="86"/>
      <c r="P130" s="149"/>
    </row>
    <row r="131" spans="2:16" ht="37.5" customHeight="1" thickBot="1" x14ac:dyDescent="0.25">
      <c r="B131" s="117"/>
      <c r="C131" s="92"/>
      <c r="D131" s="92"/>
      <c r="E131" s="79"/>
      <c r="F131" s="83"/>
      <c r="G131" s="84"/>
      <c r="H131" s="72"/>
      <c r="I131" s="15" t="s">
        <v>47</v>
      </c>
      <c r="J131" s="27"/>
      <c r="K131" s="111"/>
      <c r="L131" s="79"/>
      <c r="M131" s="79"/>
      <c r="N131" s="158"/>
      <c r="O131" s="86"/>
      <c r="P131" s="149"/>
    </row>
    <row r="132" spans="2:16" ht="37.5" customHeight="1" thickBot="1" x14ac:dyDescent="0.25">
      <c r="B132" s="117"/>
      <c r="C132" s="93"/>
      <c r="D132" s="93"/>
      <c r="E132" s="75"/>
      <c r="F132" s="102"/>
      <c r="G132" s="103"/>
      <c r="H132" s="73"/>
      <c r="I132" s="16" t="s">
        <v>49</v>
      </c>
      <c r="J132" s="6" t="str">
        <f>IF(AND(H130="Si"),(J130/J131),"NA")</f>
        <v>NA</v>
      </c>
      <c r="K132" s="111"/>
      <c r="L132" s="79"/>
      <c r="M132" s="79"/>
      <c r="N132" s="158"/>
      <c r="O132" s="86"/>
      <c r="P132" s="149"/>
    </row>
    <row r="133" spans="2:16" ht="27" customHeight="1" thickBot="1" x14ac:dyDescent="0.25">
      <c r="B133" s="117"/>
      <c r="C133" s="92" t="s">
        <v>32</v>
      </c>
      <c r="D133" s="80" t="s">
        <v>126</v>
      </c>
      <c r="E133" s="92" t="s">
        <v>127</v>
      </c>
      <c r="F133" s="101">
        <v>0</v>
      </c>
      <c r="G133" s="82"/>
      <c r="H133" s="71" t="s">
        <v>262</v>
      </c>
      <c r="I133" s="13" t="s">
        <v>48</v>
      </c>
      <c r="J133" s="26"/>
      <c r="K133" s="104" t="str">
        <f>IF((J135="NA"),"NA",((1-J135)*10))</f>
        <v>NA</v>
      </c>
      <c r="L133" s="79"/>
      <c r="M133" s="79"/>
      <c r="N133" s="158"/>
      <c r="O133" s="86"/>
      <c r="P133" s="149"/>
    </row>
    <row r="134" spans="2:16" ht="26.25" customHeight="1" thickBot="1" x14ac:dyDescent="0.25">
      <c r="B134" s="117"/>
      <c r="C134" s="92"/>
      <c r="D134" s="92"/>
      <c r="E134" s="92"/>
      <c r="F134" s="83"/>
      <c r="G134" s="84"/>
      <c r="H134" s="72"/>
      <c r="I134" s="15" t="s">
        <v>47</v>
      </c>
      <c r="J134" s="27"/>
      <c r="K134" s="104"/>
      <c r="L134" s="79"/>
      <c r="M134" s="79"/>
      <c r="N134" s="158"/>
      <c r="O134" s="86"/>
      <c r="P134" s="149"/>
    </row>
    <row r="135" spans="2:16" ht="26.25" customHeight="1" thickBot="1" x14ac:dyDescent="0.25">
      <c r="B135" s="117"/>
      <c r="C135" s="92"/>
      <c r="D135" s="93"/>
      <c r="E135" s="93"/>
      <c r="F135" s="102"/>
      <c r="G135" s="103"/>
      <c r="H135" s="73"/>
      <c r="I135" s="16" t="s">
        <v>33</v>
      </c>
      <c r="J135" s="6" t="str">
        <f>IF(AND(H133="Si"),((J133/J134)),"NA")</f>
        <v>NA</v>
      </c>
      <c r="K135" s="104"/>
      <c r="L135" s="79"/>
      <c r="M135" s="79"/>
      <c r="N135" s="158"/>
      <c r="O135" s="86"/>
      <c r="P135" s="149"/>
    </row>
    <row r="136" spans="2:16" ht="27.75" customHeight="1" thickBot="1" x14ac:dyDescent="0.25">
      <c r="B136" s="117"/>
      <c r="C136" s="92"/>
      <c r="D136" s="89" t="s">
        <v>128</v>
      </c>
      <c r="E136" s="80" t="s">
        <v>129</v>
      </c>
      <c r="F136" s="105" t="s">
        <v>294</v>
      </c>
      <c r="G136" s="106"/>
      <c r="H136" s="71" t="s">
        <v>261</v>
      </c>
      <c r="I136" s="13" t="s">
        <v>48</v>
      </c>
      <c r="J136" s="29">
        <v>3</v>
      </c>
      <c r="K136" s="85">
        <f>IF((J138="NA"),"NA",IF(J136&gt;=1,10,((J136*10))))</f>
        <v>10</v>
      </c>
      <c r="L136" s="79"/>
      <c r="M136" s="79"/>
      <c r="N136" s="158"/>
      <c r="O136" s="86"/>
      <c r="P136" s="149"/>
    </row>
    <row r="137" spans="2:16" ht="27.75" customHeight="1" thickBot="1" x14ac:dyDescent="0.25">
      <c r="B137" s="117"/>
      <c r="C137" s="92"/>
      <c r="D137" s="94"/>
      <c r="E137" s="92"/>
      <c r="F137" s="106"/>
      <c r="G137" s="106"/>
      <c r="H137" s="72"/>
      <c r="I137" s="15" t="s">
        <v>51</v>
      </c>
      <c r="J137" s="46">
        <f>IF(H136="Si",60,"")</f>
        <v>60</v>
      </c>
      <c r="K137" s="86"/>
      <c r="L137" s="79"/>
      <c r="M137" s="79"/>
      <c r="N137" s="158"/>
      <c r="O137" s="86"/>
      <c r="P137" s="149"/>
    </row>
    <row r="138" spans="2:16" ht="30.75" customHeight="1" thickBot="1" x14ac:dyDescent="0.25">
      <c r="B138" s="117"/>
      <c r="C138" s="92"/>
      <c r="D138" s="95"/>
      <c r="E138" s="93"/>
      <c r="F138" s="106"/>
      <c r="G138" s="106"/>
      <c r="H138" s="73"/>
      <c r="I138" s="16" t="s">
        <v>49</v>
      </c>
      <c r="J138" s="7" t="str">
        <f>IF(H136="Si",(J136&amp;"/"&amp;J137&amp;"min"),"NA")</f>
        <v>3/60min</v>
      </c>
      <c r="K138" s="100"/>
      <c r="L138" s="79"/>
      <c r="M138" s="79"/>
      <c r="N138" s="158"/>
      <c r="O138" s="86"/>
      <c r="P138" s="149"/>
    </row>
    <row r="139" spans="2:16" ht="34.5" customHeight="1" thickBot="1" x14ac:dyDescent="0.25">
      <c r="B139" s="117"/>
      <c r="C139" s="92"/>
      <c r="D139" s="80" t="s">
        <v>131</v>
      </c>
      <c r="E139" s="80" t="s">
        <v>132</v>
      </c>
      <c r="F139" s="101">
        <v>0</v>
      </c>
      <c r="G139" s="82"/>
      <c r="H139" s="71" t="s">
        <v>262</v>
      </c>
      <c r="I139" s="13" t="s">
        <v>48</v>
      </c>
      <c r="J139" s="26"/>
      <c r="K139" s="104" t="str">
        <f>IF((J141="NA"),"NA",((1-J141)*10))</f>
        <v>NA</v>
      </c>
      <c r="L139" s="79"/>
      <c r="M139" s="79"/>
      <c r="N139" s="158"/>
      <c r="O139" s="86"/>
      <c r="P139" s="149"/>
    </row>
    <row r="140" spans="2:16" ht="34.5" customHeight="1" thickBot="1" x14ac:dyDescent="0.25">
      <c r="B140" s="117"/>
      <c r="C140" s="92"/>
      <c r="D140" s="92"/>
      <c r="E140" s="92"/>
      <c r="F140" s="83"/>
      <c r="G140" s="84"/>
      <c r="H140" s="72"/>
      <c r="I140" s="15" t="s">
        <v>47</v>
      </c>
      <c r="J140" s="27"/>
      <c r="K140" s="104"/>
      <c r="L140" s="79"/>
      <c r="M140" s="79"/>
      <c r="N140" s="158"/>
      <c r="O140" s="86"/>
      <c r="P140" s="149"/>
    </row>
    <row r="141" spans="2:16" ht="35.25" customHeight="1" thickBot="1" x14ac:dyDescent="0.25">
      <c r="B141" s="117"/>
      <c r="C141" s="93"/>
      <c r="D141" s="93"/>
      <c r="E141" s="93"/>
      <c r="F141" s="102"/>
      <c r="G141" s="103"/>
      <c r="H141" s="73"/>
      <c r="I141" s="16" t="s">
        <v>33</v>
      </c>
      <c r="J141" s="6" t="str">
        <f>IF(AND(H139="Si"),((J139/J140)),"NA")</f>
        <v>NA</v>
      </c>
      <c r="K141" s="104"/>
      <c r="L141" s="79"/>
      <c r="M141" s="79"/>
      <c r="N141" s="158"/>
      <c r="O141" s="86"/>
      <c r="P141" s="149"/>
    </row>
    <row r="142" spans="2:16" ht="40.5" customHeight="1" thickBot="1" x14ac:dyDescent="0.25">
      <c r="B142" s="117"/>
      <c r="C142" s="105" t="s">
        <v>159</v>
      </c>
      <c r="D142" s="80" t="s">
        <v>160</v>
      </c>
      <c r="E142" s="80" t="s">
        <v>161</v>
      </c>
      <c r="F142" s="101">
        <v>1</v>
      </c>
      <c r="G142" s="82"/>
      <c r="H142" s="71" t="s">
        <v>262</v>
      </c>
      <c r="I142" s="13" t="s">
        <v>48</v>
      </c>
      <c r="J142" s="26"/>
      <c r="K142" s="111" t="str">
        <f>IF((J144="NA"),"NA",((J144/F142)*10))</f>
        <v>NA</v>
      </c>
      <c r="L142" s="79"/>
      <c r="M142" s="79"/>
      <c r="N142" s="158"/>
      <c r="O142" s="86"/>
      <c r="P142" s="149"/>
    </row>
    <row r="143" spans="2:16" ht="36" customHeight="1" thickBot="1" x14ac:dyDescent="0.25">
      <c r="B143" s="117"/>
      <c r="C143" s="105"/>
      <c r="D143" s="92"/>
      <c r="E143" s="79"/>
      <c r="F143" s="83"/>
      <c r="G143" s="84"/>
      <c r="H143" s="72"/>
      <c r="I143" s="15" t="s">
        <v>47</v>
      </c>
      <c r="J143" s="27"/>
      <c r="K143" s="111"/>
      <c r="L143" s="79"/>
      <c r="M143" s="79"/>
      <c r="N143" s="158"/>
      <c r="O143" s="86"/>
      <c r="P143" s="149"/>
    </row>
    <row r="144" spans="2:16" ht="39" customHeight="1" thickBot="1" x14ac:dyDescent="0.25">
      <c r="B144" s="117"/>
      <c r="C144" s="105"/>
      <c r="D144" s="93"/>
      <c r="E144" s="75"/>
      <c r="F144" s="102"/>
      <c r="G144" s="103"/>
      <c r="H144" s="73"/>
      <c r="I144" s="16" t="s">
        <v>49</v>
      </c>
      <c r="J144" s="6" t="str">
        <f>IF(AND(H142="Si"),(J142/J143),"NA")</f>
        <v>NA</v>
      </c>
      <c r="K144" s="111"/>
      <c r="L144" s="75"/>
      <c r="M144" s="75"/>
      <c r="N144" s="159"/>
      <c r="O144" s="100"/>
      <c r="P144" s="149"/>
    </row>
    <row r="145" spans="1:16" ht="5.25" customHeight="1" thickBot="1" x14ac:dyDescent="0.25">
      <c r="B145" s="96"/>
      <c r="C145" s="97"/>
      <c r="D145" s="97"/>
      <c r="E145" s="97"/>
      <c r="F145" s="97"/>
      <c r="G145" s="97"/>
      <c r="H145" s="97"/>
      <c r="I145" s="97"/>
      <c r="J145" s="97"/>
      <c r="K145" s="97"/>
      <c r="L145" s="97"/>
      <c r="M145" s="97"/>
      <c r="N145" s="97"/>
      <c r="O145" s="98"/>
      <c r="P145" s="149"/>
    </row>
    <row r="146" spans="1:16" ht="40.5" customHeight="1" thickBot="1" x14ac:dyDescent="0.25">
      <c r="A146" s="21"/>
      <c r="B146" s="154" t="s">
        <v>147</v>
      </c>
      <c r="C146" s="74" t="s">
        <v>138</v>
      </c>
      <c r="D146" s="80" t="s">
        <v>137</v>
      </c>
      <c r="E146" s="80" t="s">
        <v>139</v>
      </c>
      <c r="F146" s="101">
        <v>0</v>
      </c>
      <c r="G146" s="82"/>
      <c r="H146" s="71" t="s">
        <v>262</v>
      </c>
      <c r="I146" s="13" t="s">
        <v>48</v>
      </c>
      <c r="J146" s="26"/>
      <c r="K146" s="104" t="str">
        <f>IF((J148="NA"),"NA",((1-J148)*10))</f>
        <v>NA</v>
      </c>
      <c r="L146" s="85">
        <f>IF(AND(H146="No",H149="No",H152="No",H155="No",H158="No",H161="No",H164="No",H167="No"),0,AVERAGE(K146:K169))</f>
        <v>0</v>
      </c>
      <c r="M146" s="160" t="s">
        <v>258</v>
      </c>
      <c r="N146" s="157">
        <v>0</v>
      </c>
      <c r="O146" s="85">
        <f>L146*N146</f>
        <v>0</v>
      </c>
      <c r="P146" s="149"/>
    </row>
    <row r="147" spans="1:16" ht="42" customHeight="1" thickBot="1" x14ac:dyDescent="0.25">
      <c r="A147" s="21"/>
      <c r="B147" s="155"/>
      <c r="C147" s="79"/>
      <c r="D147" s="92"/>
      <c r="E147" s="79"/>
      <c r="F147" s="83"/>
      <c r="G147" s="84"/>
      <c r="H147" s="72"/>
      <c r="I147" s="15" t="s">
        <v>47</v>
      </c>
      <c r="J147" s="27"/>
      <c r="K147" s="104"/>
      <c r="L147" s="86"/>
      <c r="M147" s="161"/>
      <c r="N147" s="158"/>
      <c r="O147" s="86"/>
      <c r="P147" s="149"/>
    </row>
    <row r="148" spans="1:16" ht="34.5" customHeight="1" thickBot="1" x14ac:dyDescent="0.25">
      <c r="A148" s="21"/>
      <c r="B148" s="155"/>
      <c r="C148" s="79"/>
      <c r="D148" s="93"/>
      <c r="E148" s="75"/>
      <c r="F148" s="102"/>
      <c r="G148" s="103"/>
      <c r="H148" s="73"/>
      <c r="I148" s="16" t="s">
        <v>33</v>
      </c>
      <c r="J148" s="6" t="str">
        <f>IF(AND(H146="Si"),((J146/J147)),"NA")</f>
        <v>NA</v>
      </c>
      <c r="K148" s="104"/>
      <c r="L148" s="86"/>
      <c r="M148" s="161"/>
      <c r="N148" s="158"/>
      <c r="O148" s="86"/>
      <c r="P148" s="149"/>
    </row>
    <row r="149" spans="1:16" ht="39.75" customHeight="1" thickBot="1" x14ac:dyDescent="0.25">
      <c r="A149" s="21"/>
      <c r="B149" s="155"/>
      <c r="C149" s="79"/>
      <c r="D149" s="80" t="s">
        <v>140</v>
      </c>
      <c r="E149" s="80" t="s">
        <v>141</v>
      </c>
      <c r="F149" s="101">
        <v>0</v>
      </c>
      <c r="G149" s="82"/>
      <c r="H149" s="71" t="s">
        <v>262</v>
      </c>
      <c r="I149" s="13" t="s">
        <v>48</v>
      </c>
      <c r="J149" s="26"/>
      <c r="K149" s="104" t="str">
        <f>IF((J151="NA"),"NA",((1-J151)*10))</f>
        <v>NA</v>
      </c>
      <c r="L149" s="86"/>
      <c r="M149" s="161"/>
      <c r="N149" s="158"/>
      <c r="O149" s="86"/>
      <c r="P149" s="149"/>
    </row>
    <row r="150" spans="1:16" ht="39" customHeight="1" thickBot="1" x14ac:dyDescent="0.25">
      <c r="A150" s="21"/>
      <c r="B150" s="155"/>
      <c r="C150" s="79"/>
      <c r="D150" s="92"/>
      <c r="E150" s="79"/>
      <c r="F150" s="83"/>
      <c r="G150" s="84"/>
      <c r="H150" s="72"/>
      <c r="I150" s="15" t="s">
        <v>47</v>
      </c>
      <c r="J150" s="27"/>
      <c r="K150" s="104"/>
      <c r="L150" s="86"/>
      <c r="M150" s="161"/>
      <c r="N150" s="158"/>
      <c r="O150" s="86"/>
      <c r="P150" s="149"/>
    </row>
    <row r="151" spans="1:16" ht="39" customHeight="1" thickBot="1" x14ac:dyDescent="0.25">
      <c r="A151" s="21"/>
      <c r="B151" s="155"/>
      <c r="C151" s="79"/>
      <c r="D151" s="93"/>
      <c r="E151" s="75"/>
      <c r="F151" s="102"/>
      <c r="G151" s="103"/>
      <c r="H151" s="73"/>
      <c r="I151" s="16" t="s">
        <v>33</v>
      </c>
      <c r="J151" s="6" t="str">
        <f>IF(AND(H149="Si"),((J149/J150)),"NA")</f>
        <v>NA</v>
      </c>
      <c r="K151" s="104"/>
      <c r="L151" s="86"/>
      <c r="M151" s="161"/>
      <c r="N151" s="158"/>
      <c r="O151" s="86"/>
      <c r="P151" s="149"/>
    </row>
    <row r="152" spans="1:16" ht="45.75" customHeight="1" thickBot="1" x14ac:dyDescent="0.25">
      <c r="A152" s="21"/>
      <c r="B152" s="155"/>
      <c r="C152" s="79"/>
      <c r="D152" s="80" t="s">
        <v>142</v>
      </c>
      <c r="E152" s="80" t="s">
        <v>143</v>
      </c>
      <c r="F152" s="101">
        <v>0</v>
      </c>
      <c r="G152" s="82"/>
      <c r="H152" s="71" t="s">
        <v>262</v>
      </c>
      <c r="I152" s="13" t="s">
        <v>48</v>
      </c>
      <c r="J152" s="26"/>
      <c r="K152" s="104" t="str">
        <f>IF((J154="NA"),"NA",((1-J154)*10))</f>
        <v>NA</v>
      </c>
      <c r="L152" s="86"/>
      <c r="M152" s="161"/>
      <c r="N152" s="158"/>
      <c r="O152" s="86"/>
      <c r="P152" s="149"/>
    </row>
    <row r="153" spans="1:16" ht="42" customHeight="1" thickBot="1" x14ac:dyDescent="0.25">
      <c r="A153" s="21"/>
      <c r="B153" s="155"/>
      <c r="C153" s="79"/>
      <c r="D153" s="92"/>
      <c r="E153" s="79"/>
      <c r="F153" s="83"/>
      <c r="G153" s="84"/>
      <c r="H153" s="72"/>
      <c r="I153" s="15" t="s">
        <v>47</v>
      </c>
      <c r="J153" s="27"/>
      <c r="K153" s="104"/>
      <c r="L153" s="86"/>
      <c r="M153" s="161"/>
      <c r="N153" s="158"/>
      <c r="O153" s="86"/>
      <c r="P153" s="149"/>
    </row>
    <row r="154" spans="1:16" ht="48" customHeight="1" thickBot="1" x14ac:dyDescent="0.25">
      <c r="A154" s="21"/>
      <c r="B154" s="155"/>
      <c r="C154" s="75"/>
      <c r="D154" s="93"/>
      <c r="E154" s="75"/>
      <c r="F154" s="102"/>
      <c r="G154" s="103"/>
      <c r="H154" s="73"/>
      <c r="I154" s="16" t="s">
        <v>33</v>
      </c>
      <c r="J154" s="6" t="str">
        <f>IF(AND(H152="Si"),((J152/J153)),"NA")</f>
        <v>NA</v>
      </c>
      <c r="K154" s="104"/>
      <c r="L154" s="86"/>
      <c r="M154" s="161"/>
      <c r="N154" s="158"/>
      <c r="O154" s="86"/>
      <c r="P154" s="149"/>
    </row>
    <row r="155" spans="1:16" ht="38.25" customHeight="1" x14ac:dyDescent="0.2">
      <c r="A155" s="21"/>
      <c r="B155" s="155"/>
      <c r="C155" s="74" t="s">
        <v>162</v>
      </c>
      <c r="D155" s="89" t="s">
        <v>163</v>
      </c>
      <c r="E155" s="89" t="s">
        <v>165</v>
      </c>
      <c r="F155" s="81" t="s">
        <v>79</v>
      </c>
      <c r="G155" s="82"/>
      <c r="H155" s="71" t="s">
        <v>262</v>
      </c>
      <c r="I155" s="13" t="s">
        <v>48</v>
      </c>
      <c r="J155" s="26"/>
      <c r="K155" s="85" t="str">
        <f>IF((J157="NA"),"NA",IF(J155&gt;10,0,(((1-(J155/10))*10))))</f>
        <v>NA</v>
      </c>
      <c r="L155" s="86"/>
      <c r="M155" s="161"/>
      <c r="N155" s="158"/>
      <c r="O155" s="86"/>
      <c r="P155" s="149"/>
    </row>
    <row r="156" spans="1:16" ht="38.25" customHeight="1" x14ac:dyDescent="0.2">
      <c r="A156" s="21"/>
      <c r="B156" s="155"/>
      <c r="C156" s="79"/>
      <c r="D156" s="94"/>
      <c r="E156" s="94"/>
      <c r="F156" s="83"/>
      <c r="G156" s="84"/>
      <c r="H156" s="72"/>
      <c r="I156" s="15" t="s">
        <v>51</v>
      </c>
      <c r="J156" s="27" t="str">
        <f>IF(H155="Si",1,"")</f>
        <v/>
      </c>
      <c r="K156" s="86"/>
      <c r="L156" s="86"/>
      <c r="M156" s="161"/>
      <c r="N156" s="158"/>
      <c r="O156" s="86"/>
      <c r="P156" s="149"/>
    </row>
    <row r="157" spans="1:16" ht="38.25" customHeight="1" thickBot="1" x14ac:dyDescent="0.25">
      <c r="A157" s="21"/>
      <c r="B157" s="155"/>
      <c r="C157" s="79"/>
      <c r="D157" s="95"/>
      <c r="E157" s="95"/>
      <c r="F157" s="102"/>
      <c r="G157" s="103"/>
      <c r="H157" s="73"/>
      <c r="I157" s="16" t="s">
        <v>60</v>
      </c>
      <c r="J157" s="7" t="str">
        <f>IF(AND(H155="Si"),(J155&amp;"/"&amp;J156&amp;"min"),"NA")</f>
        <v>NA</v>
      </c>
      <c r="K157" s="100"/>
      <c r="L157" s="86"/>
      <c r="M157" s="161"/>
      <c r="N157" s="158"/>
      <c r="O157" s="86"/>
      <c r="P157" s="149"/>
    </row>
    <row r="158" spans="1:16" ht="48" customHeight="1" thickBot="1" x14ac:dyDescent="0.25">
      <c r="A158" s="21"/>
      <c r="B158" s="155"/>
      <c r="C158" s="79"/>
      <c r="D158" s="80" t="s">
        <v>164</v>
      </c>
      <c r="E158" s="80" t="s">
        <v>166</v>
      </c>
      <c r="F158" s="81">
        <v>1</v>
      </c>
      <c r="G158" s="82"/>
      <c r="H158" s="71" t="s">
        <v>262</v>
      </c>
      <c r="I158" s="13" t="s">
        <v>48</v>
      </c>
      <c r="J158" s="26"/>
      <c r="K158" s="111" t="str">
        <f>IF((J160="NA"),"NA",((J160/F158)*10))</f>
        <v>NA</v>
      </c>
      <c r="L158" s="86"/>
      <c r="M158" s="161"/>
      <c r="N158" s="158"/>
      <c r="O158" s="86"/>
      <c r="P158" s="149"/>
    </row>
    <row r="159" spans="1:16" ht="46.5" customHeight="1" thickBot="1" x14ac:dyDescent="0.25">
      <c r="A159" s="21"/>
      <c r="B159" s="155"/>
      <c r="C159" s="79"/>
      <c r="D159" s="92"/>
      <c r="E159" s="92"/>
      <c r="F159" s="83"/>
      <c r="G159" s="84"/>
      <c r="H159" s="72"/>
      <c r="I159" s="15" t="s">
        <v>47</v>
      </c>
      <c r="J159" s="27"/>
      <c r="K159" s="111"/>
      <c r="L159" s="86"/>
      <c r="M159" s="161"/>
      <c r="N159" s="158"/>
      <c r="O159" s="86"/>
      <c r="P159" s="149"/>
    </row>
    <row r="160" spans="1:16" ht="51.75" customHeight="1" thickBot="1" x14ac:dyDescent="0.25">
      <c r="A160" s="21"/>
      <c r="B160" s="155"/>
      <c r="C160" s="75"/>
      <c r="D160" s="93"/>
      <c r="E160" s="93"/>
      <c r="F160" s="102"/>
      <c r="G160" s="103"/>
      <c r="H160" s="73"/>
      <c r="I160" s="16" t="s">
        <v>49</v>
      </c>
      <c r="J160" s="6" t="str">
        <f>IF(AND(H158="Si"),(J158/J159),"NA")</f>
        <v>NA</v>
      </c>
      <c r="K160" s="111"/>
      <c r="L160" s="86"/>
      <c r="M160" s="161"/>
      <c r="N160" s="158"/>
      <c r="O160" s="86"/>
      <c r="P160" s="149"/>
    </row>
    <row r="161" spans="1:16" ht="27.75" customHeight="1" thickBot="1" x14ac:dyDescent="0.25">
      <c r="A161" s="21"/>
      <c r="B161" s="155"/>
      <c r="C161" s="74" t="s">
        <v>146</v>
      </c>
      <c r="D161" s="80" t="s">
        <v>144</v>
      </c>
      <c r="E161" s="80" t="s">
        <v>145</v>
      </c>
      <c r="F161" s="81">
        <v>0</v>
      </c>
      <c r="G161" s="82"/>
      <c r="H161" s="71" t="s">
        <v>262</v>
      </c>
      <c r="I161" s="13" t="s">
        <v>48</v>
      </c>
      <c r="J161" s="26"/>
      <c r="K161" s="104" t="str">
        <f>IF((J163="NA"),"NA",((1-J163)*10))</f>
        <v>NA</v>
      </c>
      <c r="L161" s="86"/>
      <c r="M161" s="161"/>
      <c r="N161" s="158"/>
      <c r="O161" s="86"/>
      <c r="P161" s="149"/>
    </row>
    <row r="162" spans="1:16" ht="30" customHeight="1" thickBot="1" x14ac:dyDescent="0.25">
      <c r="A162" s="21"/>
      <c r="B162" s="155"/>
      <c r="C162" s="79"/>
      <c r="D162" s="92"/>
      <c r="E162" s="92"/>
      <c r="F162" s="83"/>
      <c r="G162" s="84"/>
      <c r="H162" s="72"/>
      <c r="I162" s="15" t="s">
        <v>47</v>
      </c>
      <c r="J162" s="27"/>
      <c r="K162" s="104"/>
      <c r="L162" s="86"/>
      <c r="M162" s="161"/>
      <c r="N162" s="158"/>
      <c r="O162" s="86"/>
      <c r="P162" s="149"/>
    </row>
    <row r="163" spans="1:16" ht="36" customHeight="1" thickBot="1" x14ac:dyDescent="0.25">
      <c r="A163" s="21"/>
      <c r="B163" s="155"/>
      <c r="C163" s="79"/>
      <c r="D163" s="93"/>
      <c r="E163" s="93"/>
      <c r="F163" s="102"/>
      <c r="G163" s="103"/>
      <c r="H163" s="73"/>
      <c r="I163" s="16" t="s">
        <v>33</v>
      </c>
      <c r="J163" s="6" t="str">
        <f>IF(AND(H161="Si"),((J161/J162)),"NA")</f>
        <v>NA</v>
      </c>
      <c r="K163" s="104"/>
      <c r="L163" s="86"/>
      <c r="M163" s="161"/>
      <c r="N163" s="158"/>
      <c r="O163" s="86"/>
      <c r="P163" s="149"/>
    </row>
    <row r="164" spans="1:16" ht="54" customHeight="1" thickBot="1" x14ac:dyDescent="0.25">
      <c r="A164" s="21"/>
      <c r="B164" s="155"/>
      <c r="C164" s="79"/>
      <c r="D164" s="80" t="s">
        <v>167</v>
      </c>
      <c r="E164" s="80" t="s">
        <v>168</v>
      </c>
      <c r="F164" s="81">
        <v>1</v>
      </c>
      <c r="G164" s="82"/>
      <c r="H164" s="71" t="s">
        <v>262</v>
      </c>
      <c r="I164" s="13" t="s">
        <v>48</v>
      </c>
      <c r="J164" s="26"/>
      <c r="K164" s="111" t="str">
        <f>IF((J166="NA"),"NA",((J166/F164)*10))</f>
        <v>NA</v>
      </c>
      <c r="L164" s="86"/>
      <c r="M164" s="161"/>
      <c r="N164" s="158"/>
      <c r="O164" s="86"/>
      <c r="P164" s="149"/>
    </row>
    <row r="165" spans="1:16" ht="51" customHeight="1" thickBot="1" x14ac:dyDescent="0.25">
      <c r="A165" s="21"/>
      <c r="B165" s="155"/>
      <c r="C165" s="79"/>
      <c r="D165" s="92"/>
      <c r="E165" s="92"/>
      <c r="F165" s="83"/>
      <c r="G165" s="84"/>
      <c r="H165" s="72"/>
      <c r="I165" s="15" t="s">
        <v>47</v>
      </c>
      <c r="J165" s="27"/>
      <c r="K165" s="111"/>
      <c r="L165" s="86"/>
      <c r="M165" s="161"/>
      <c r="N165" s="158"/>
      <c r="O165" s="86"/>
      <c r="P165" s="149"/>
    </row>
    <row r="166" spans="1:16" ht="51" customHeight="1" thickBot="1" x14ac:dyDescent="0.25">
      <c r="A166" s="21"/>
      <c r="B166" s="155"/>
      <c r="C166" s="79"/>
      <c r="D166" s="93"/>
      <c r="E166" s="93"/>
      <c r="F166" s="102"/>
      <c r="G166" s="103"/>
      <c r="H166" s="73"/>
      <c r="I166" s="16" t="s">
        <v>49</v>
      </c>
      <c r="J166" s="6" t="str">
        <f>IF(AND(H164="Si"),(J164/J165),"NA")</f>
        <v>NA</v>
      </c>
      <c r="K166" s="111"/>
      <c r="L166" s="86"/>
      <c r="M166" s="161"/>
      <c r="N166" s="158"/>
      <c r="O166" s="86"/>
      <c r="P166" s="149"/>
    </row>
    <row r="167" spans="1:16" ht="41.25" customHeight="1" thickBot="1" x14ac:dyDescent="0.25">
      <c r="B167" s="155"/>
      <c r="C167" s="79"/>
      <c r="D167" s="80" t="s">
        <v>169</v>
      </c>
      <c r="E167" s="80" t="s">
        <v>170</v>
      </c>
      <c r="F167" s="81">
        <v>1</v>
      </c>
      <c r="G167" s="82"/>
      <c r="H167" s="71" t="s">
        <v>262</v>
      </c>
      <c r="I167" s="13" t="s">
        <v>48</v>
      </c>
      <c r="J167" s="26"/>
      <c r="K167" s="111" t="str">
        <f>IF((J169="NA"),"NA",((J169/F167)*10))</f>
        <v>NA</v>
      </c>
      <c r="L167" s="86"/>
      <c r="M167" s="161"/>
      <c r="N167" s="158"/>
      <c r="O167" s="86"/>
      <c r="P167" s="149"/>
    </row>
    <row r="168" spans="1:16" ht="38.25" customHeight="1" thickBot="1" x14ac:dyDescent="0.25">
      <c r="B168" s="155"/>
      <c r="C168" s="79"/>
      <c r="D168" s="92"/>
      <c r="E168" s="92"/>
      <c r="F168" s="83"/>
      <c r="G168" s="84"/>
      <c r="H168" s="72"/>
      <c r="I168" s="15" t="s">
        <v>47</v>
      </c>
      <c r="J168" s="27"/>
      <c r="K168" s="111"/>
      <c r="L168" s="86"/>
      <c r="M168" s="161"/>
      <c r="N168" s="158"/>
      <c r="O168" s="86"/>
      <c r="P168" s="149"/>
    </row>
    <row r="169" spans="1:16" ht="40.5" customHeight="1" thickBot="1" x14ac:dyDescent="0.25">
      <c r="B169" s="156"/>
      <c r="C169" s="75"/>
      <c r="D169" s="93"/>
      <c r="E169" s="93"/>
      <c r="F169" s="102"/>
      <c r="G169" s="103"/>
      <c r="H169" s="73"/>
      <c r="I169" s="16" t="s">
        <v>49</v>
      </c>
      <c r="J169" s="6" t="str">
        <f>IF(AND(H167="Si"),(J167/J168),"NA")</f>
        <v>NA</v>
      </c>
      <c r="K169" s="111"/>
      <c r="L169" s="100"/>
      <c r="M169" s="162"/>
      <c r="N169" s="159"/>
      <c r="O169" s="100"/>
      <c r="P169" s="150"/>
    </row>
    <row r="170" spans="1:16" x14ac:dyDescent="0.2">
      <c r="N170" s="48">
        <f>SUM(N7:N169)</f>
        <v>1</v>
      </c>
    </row>
  </sheetData>
  <mergeCells count="345">
    <mergeCell ref="P7:P169"/>
    <mergeCell ref="Q88:Q90"/>
    <mergeCell ref="B2:P3"/>
    <mergeCell ref="D161:D163"/>
    <mergeCell ref="E161:E163"/>
    <mergeCell ref="F161:G163"/>
    <mergeCell ref="K161:K163"/>
    <mergeCell ref="B145:O145"/>
    <mergeCell ref="C146:C154"/>
    <mergeCell ref="D146:D148"/>
    <mergeCell ref="E146:E148"/>
    <mergeCell ref="F146:G148"/>
    <mergeCell ref="K146:K148"/>
    <mergeCell ref="D149:D151"/>
    <mergeCell ref="E149:E151"/>
    <mergeCell ref="F149:G151"/>
    <mergeCell ref="K149:K151"/>
    <mergeCell ref="D152:D154"/>
    <mergeCell ref="E152:E154"/>
    <mergeCell ref="K158:K160"/>
    <mergeCell ref="D136:D138"/>
    <mergeCell ref="E136:E138"/>
    <mergeCell ref="F136:G138"/>
    <mergeCell ref="C142:C144"/>
    <mergeCell ref="D142:D144"/>
    <mergeCell ref="E142:E144"/>
    <mergeCell ref="F142:G144"/>
    <mergeCell ref="K142:K144"/>
    <mergeCell ref="F152:G154"/>
    <mergeCell ref="K152:K154"/>
    <mergeCell ref="B126:O126"/>
    <mergeCell ref="B127:B144"/>
    <mergeCell ref="L127:L144"/>
    <mergeCell ref="N127:N144"/>
    <mergeCell ref="O127:O144"/>
    <mergeCell ref="C127:C132"/>
    <mergeCell ref="D127:D129"/>
    <mergeCell ref="E127:E129"/>
    <mergeCell ref="F127:G129"/>
    <mergeCell ref="K127:K129"/>
    <mergeCell ref="D130:D132"/>
    <mergeCell ref="E130:E132"/>
    <mergeCell ref="F130:G132"/>
    <mergeCell ref="K130:K132"/>
    <mergeCell ref="K136:K138"/>
    <mergeCell ref="D139:D141"/>
    <mergeCell ref="E139:E141"/>
    <mergeCell ref="F139:G141"/>
    <mergeCell ref="K139:K141"/>
    <mergeCell ref="C133:C141"/>
    <mergeCell ref="D133:D135"/>
    <mergeCell ref="E133:E135"/>
    <mergeCell ref="F133:G135"/>
    <mergeCell ref="K133:K135"/>
    <mergeCell ref="B116:O116"/>
    <mergeCell ref="B117:B125"/>
    <mergeCell ref="C117:C119"/>
    <mergeCell ref="D117:D119"/>
    <mergeCell ref="E117:E119"/>
    <mergeCell ref="F117:G119"/>
    <mergeCell ref="K117:K119"/>
    <mergeCell ref="L117:L125"/>
    <mergeCell ref="N117:N125"/>
    <mergeCell ref="O117:O125"/>
    <mergeCell ref="C120:C125"/>
    <mergeCell ref="D120:D122"/>
    <mergeCell ref="E120:E122"/>
    <mergeCell ref="F120:G122"/>
    <mergeCell ref="K120:K122"/>
    <mergeCell ref="D123:D125"/>
    <mergeCell ref="E123:E125"/>
    <mergeCell ref="F123:G125"/>
    <mergeCell ref="K123:K125"/>
    <mergeCell ref="C114:C115"/>
    <mergeCell ref="D114:D115"/>
    <mergeCell ref="E114:E115"/>
    <mergeCell ref="F114:G115"/>
    <mergeCell ref="K114:K115"/>
    <mergeCell ref="C111:C113"/>
    <mergeCell ref="D111:D113"/>
    <mergeCell ref="E111:E113"/>
    <mergeCell ref="F111:G113"/>
    <mergeCell ref="K111:K113"/>
    <mergeCell ref="E105:E107"/>
    <mergeCell ref="F105:G107"/>
    <mergeCell ref="K105:K107"/>
    <mergeCell ref="C108:C110"/>
    <mergeCell ref="D108:D110"/>
    <mergeCell ref="E108:E110"/>
    <mergeCell ref="F108:G110"/>
    <mergeCell ref="K108:K110"/>
    <mergeCell ref="B98:O98"/>
    <mergeCell ref="B99:B115"/>
    <mergeCell ref="C99:C104"/>
    <mergeCell ref="D99:D101"/>
    <mergeCell ref="E99:E101"/>
    <mergeCell ref="F99:G101"/>
    <mergeCell ref="K99:K101"/>
    <mergeCell ref="L99:L115"/>
    <mergeCell ref="N99:N115"/>
    <mergeCell ref="O99:O115"/>
    <mergeCell ref="D102:D104"/>
    <mergeCell ref="E102:E104"/>
    <mergeCell ref="F102:G104"/>
    <mergeCell ref="K102:K104"/>
    <mergeCell ref="C105:C107"/>
    <mergeCell ref="D105:D107"/>
    <mergeCell ref="C95:C97"/>
    <mergeCell ref="D95:D97"/>
    <mergeCell ref="E95:E97"/>
    <mergeCell ref="F95:G97"/>
    <mergeCell ref="K95:K97"/>
    <mergeCell ref="C92:C94"/>
    <mergeCell ref="D92:D94"/>
    <mergeCell ref="E92:E94"/>
    <mergeCell ref="F92:G94"/>
    <mergeCell ref="K92:K94"/>
    <mergeCell ref="H95:H97"/>
    <mergeCell ref="K83:K85"/>
    <mergeCell ref="C86:C91"/>
    <mergeCell ref="D86:D88"/>
    <mergeCell ref="E86:E88"/>
    <mergeCell ref="F86:G88"/>
    <mergeCell ref="K86:K88"/>
    <mergeCell ref="D89:D91"/>
    <mergeCell ref="E89:E91"/>
    <mergeCell ref="F89:G91"/>
    <mergeCell ref="K89:K91"/>
    <mergeCell ref="C77:C85"/>
    <mergeCell ref="D77:D79"/>
    <mergeCell ref="E77:E79"/>
    <mergeCell ref="F77:G79"/>
    <mergeCell ref="K77:K79"/>
    <mergeCell ref="D80:D82"/>
    <mergeCell ref="E80:E82"/>
    <mergeCell ref="F80:G82"/>
    <mergeCell ref="K80:K82"/>
    <mergeCell ref="D83:D85"/>
    <mergeCell ref="E48:E50"/>
    <mergeCell ref="F61:G63"/>
    <mergeCell ref="K61:K63"/>
    <mergeCell ref="B67:O67"/>
    <mergeCell ref="B68:B97"/>
    <mergeCell ref="C68:C73"/>
    <mergeCell ref="D68:D70"/>
    <mergeCell ref="E68:E70"/>
    <mergeCell ref="F68:G70"/>
    <mergeCell ref="K68:K70"/>
    <mergeCell ref="L68:L97"/>
    <mergeCell ref="N68:N97"/>
    <mergeCell ref="O68:O97"/>
    <mergeCell ref="D71:D73"/>
    <mergeCell ref="E71:E73"/>
    <mergeCell ref="F71:G73"/>
    <mergeCell ref="K71:K73"/>
    <mergeCell ref="C74:C76"/>
    <mergeCell ref="E83:E85"/>
    <mergeCell ref="F83:G85"/>
    <mergeCell ref="D74:D76"/>
    <mergeCell ref="E74:E76"/>
    <mergeCell ref="F74:G76"/>
    <mergeCell ref="K74:K76"/>
    <mergeCell ref="O17:O40"/>
    <mergeCell ref="D20:D22"/>
    <mergeCell ref="E20:E22"/>
    <mergeCell ref="F20:G22"/>
    <mergeCell ref="K20:K22"/>
    <mergeCell ref="D23:D25"/>
    <mergeCell ref="E23:E25"/>
    <mergeCell ref="F23:G25"/>
    <mergeCell ref="L17:L40"/>
    <mergeCell ref="N17:N40"/>
    <mergeCell ref="H17:H19"/>
    <mergeCell ref="H20:H22"/>
    <mergeCell ref="H23:H25"/>
    <mergeCell ref="H26:H28"/>
    <mergeCell ref="H29:H31"/>
    <mergeCell ref="H32:H34"/>
    <mergeCell ref="H35:H37"/>
    <mergeCell ref="H38:H40"/>
    <mergeCell ref="F6:G6"/>
    <mergeCell ref="I6:J6"/>
    <mergeCell ref="B7:B15"/>
    <mergeCell ref="C7:C9"/>
    <mergeCell ref="D7:D9"/>
    <mergeCell ref="E7:E9"/>
    <mergeCell ref="F7:G9"/>
    <mergeCell ref="C10:C15"/>
    <mergeCell ref="D10:D12"/>
    <mergeCell ref="E10:E12"/>
    <mergeCell ref="F10:G12"/>
    <mergeCell ref="D13:D15"/>
    <mergeCell ref="E13:E15"/>
    <mergeCell ref="F13:G15"/>
    <mergeCell ref="H7:H9"/>
    <mergeCell ref="H10:H12"/>
    <mergeCell ref="H13:H15"/>
    <mergeCell ref="C161:C169"/>
    <mergeCell ref="F164:G166"/>
    <mergeCell ref="K164:K166"/>
    <mergeCell ref="B42:B66"/>
    <mergeCell ref="C58:C66"/>
    <mergeCell ref="C155:C160"/>
    <mergeCell ref="B146:B169"/>
    <mergeCell ref="E55:E57"/>
    <mergeCell ref="F55:G57"/>
    <mergeCell ref="K55:K57"/>
    <mergeCell ref="F48:G50"/>
    <mergeCell ref="K48:K50"/>
    <mergeCell ref="D58:D60"/>
    <mergeCell ref="E58:E60"/>
    <mergeCell ref="F58:G60"/>
    <mergeCell ref="K58:K60"/>
    <mergeCell ref="D61:D63"/>
    <mergeCell ref="E61:E63"/>
    <mergeCell ref="D64:D66"/>
    <mergeCell ref="E64:E66"/>
    <mergeCell ref="F64:G66"/>
    <mergeCell ref="K64:K66"/>
    <mergeCell ref="C51:C57"/>
    <mergeCell ref="D51:D52"/>
    <mergeCell ref="N7:N15"/>
    <mergeCell ref="O7:O15"/>
    <mergeCell ref="K10:K12"/>
    <mergeCell ref="K13:K15"/>
    <mergeCell ref="B16:O16"/>
    <mergeCell ref="B17:B40"/>
    <mergeCell ref="C17:C25"/>
    <mergeCell ref="D17:D19"/>
    <mergeCell ref="E17:E19"/>
    <mergeCell ref="F17:G19"/>
    <mergeCell ref="K17:K19"/>
    <mergeCell ref="K7:K9"/>
    <mergeCell ref="F38:G40"/>
    <mergeCell ref="K38:K40"/>
    <mergeCell ref="C38:C40"/>
    <mergeCell ref="D26:D28"/>
    <mergeCell ref="E26:E28"/>
    <mergeCell ref="F26:G28"/>
    <mergeCell ref="K26:K28"/>
    <mergeCell ref="D29:D31"/>
    <mergeCell ref="E29:E31"/>
    <mergeCell ref="F29:G31"/>
    <mergeCell ref="K23:K25"/>
    <mergeCell ref="D35:D37"/>
    <mergeCell ref="F51:G52"/>
    <mergeCell ref="K51:K52"/>
    <mergeCell ref="D53:D54"/>
    <mergeCell ref="E53:E54"/>
    <mergeCell ref="F53:G54"/>
    <mergeCell ref="N146:N169"/>
    <mergeCell ref="O146:O169"/>
    <mergeCell ref="L42:L66"/>
    <mergeCell ref="N42:N66"/>
    <mergeCell ref="O42:O66"/>
    <mergeCell ref="E164:E166"/>
    <mergeCell ref="D164:D166"/>
    <mergeCell ref="E51:E52"/>
    <mergeCell ref="K53:K54"/>
    <mergeCell ref="D55:D57"/>
    <mergeCell ref="D42:D44"/>
    <mergeCell ref="E42:E44"/>
    <mergeCell ref="F42:G44"/>
    <mergeCell ref="K42:K44"/>
    <mergeCell ref="D45:D47"/>
    <mergeCell ref="E45:E47"/>
    <mergeCell ref="F45:G47"/>
    <mergeCell ref="K45:K47"/>
    <mergeCell ref="D48:D50"/>
    <mergeCell ref="E167:E169"/>
    <mergeCell ref="F167:G169"/>
    <mergeCell ref="K167:K169"/>
    <mergeCell ref="L146:L169"/>
    <mergeCell ref="D158:D160"/>
    <mergeCell ref="E158:E160"/>
    <mergeCell ref="F158:G160"/>
    <mergeCell ref="D155:D157"/>
    <mergeCell ref="E155:E157"/>
    <mergeCell ref="F155:G157"/>
    <mergeCell ref="K155:K157"/>
    <mergeCell ref="H155:H157"/>
    <mergeCell ref="H158:H160"/>
    <mergeCell ref="H161:H163"/>
    <mergeCell ref="H164:H166"/>
    <mergeCell ref="H167:H169"/>
    <mergeCell ref="M7:M15"/>
    <mergeCell ref="M17:M40"/>
    <mergeCell ref="M42:M66"/>
    <mergeCell ref="M68:M97"/>
    <mergeCell ref="M99:M115"/>
    <mergeCell ref="M117:M125"/>
    <mergeCell ref="M127:M144"/>
    <mergeCell ref="M146:M169"/>
    <mergeCell ref="L7:L15"/>
    <mergeCell ref="B41:O41"/>
    <mergeCell ref="C42:C50"/>
    <mergeCell ref="E35:E37"/>
    <mergeCell ref="F35:G37"/>
    <mergeCell ref="K35:K37"/>
    <mergeCell ref="D38:D40"/>
    <mergeCell ref="E38:E40"/>
    <mergeCell ref="C26:C31"/>
    <mergeCell ref="C32:C37"/>
    <mergeCell ref="D32:D34"/>
    <mergeCell ref="E32:E34"/>
    <mergeCell ref="F32:G34"/>
    <mergeCell ref="K32:K34"/>
    <mergeCell ref="K29:K31"/>
    <mergeCell ref="D167:D169"/>
    <mergeCell ref="H42:H44"/>
    <mergeCell ref="H45:H47"/>
    <mergeCell ref="H48:H50"/>
    <mergeCell ref="H51:H52"/>
    <mergeCell ref="H53:H54"/>
    <mergeCell ref="H55:H57"/>
    <mergeCell ref="H58:H60"/>
    <mergeCell ref="H61:H63"/>
    <mergeCell ref="H64:H66"/>
    <mergeCell ref="H68:H70"/>
    <mergeCell ref="H71:H73"/>
    <mergeCell ref="H74:H76"/>
    <mergeCell ref="H77:H79"/>
    <mergeCell ref="H80:H82"/>
    <mergeCell ref="H83:H85"/>
    <mergeCell ref="H86:H88"/>
    <mergeCell ref="H89:H91"/>
    <mergeCell ref="H92:H94"/>
    <mergeCell ref="H99:H101"/>
    <mergeCell ref="H102:H104"/>
    <mergeCell ref="H105:H107"/>
    <mergeCell ref="H108:H110"/>
    <mergeCell ref="H111:H113"/>
    <mergeCell ref="H114:H115"/>
    <mergeCell ref="H117:H119"/>
    <mergeCell ref="H120:H122"/>
    <mergeCell ref="H123:H125"/>
    <mergeCell ref="H127:H129"/>
    <mergeCell ref="H130:H132"/>
    <mergeCell ref="H133:H135"/>
    <mergeCell ref="H136:H138"/>
    <mergeCell ref="H139:H141"/>
    <mergeCell ref="H142:H144"/>
    <mergeCell ref="H146:H148"/>
    <mergeCell ref="H149:H151"/>
    <mergeCell ref="H152:H154"/>
  </mergeCells>
  <conditionalFormatting sqref="N7:N15 N17:N40 N42:N66 N68:N97 N99:N115 N117:N125 N127:N144 N146:N169">
    <cfRule type="expression" dxfId="1" priority="1">
      <formula>$N$170&lt;&gt;100%</formula>
    </cfRule>
  </conditionalFormatting>
  <dataValidations count="25">
    <dataValidation type="whole" operator="greaterThan" allowBlank="1" showInputMessage="1" showErrorMessage="1" errorTitle="Error en la métrica" error="El valor ingresado en la variable T debe ser mayor a cero" sqref="J137 J65 J62 J49">
      <formula1>0</formula1>
    </dataValidation>
    <dataValidation type="whole" operator="equal" allowBlank="1" showInputMessage="1" showErrorMessage="1" errorTitle="Error en la métrica" error="El valor ingresado en la variable T debe ser 1." sqref="J39 J156 J30">
      <formula1>1</formula1>
    </dataValidation>
    <dataValidation type="custom" allowBlank="1" showInputMessage="1" showErrorMessage="1" errorTitle="Error en la métrica" error="El valor ingresado en la variable B debe ser:_x000a_1. Mayor a cero._x000a_2. Mayor o igual a la variable A" sqref="J159 J162 J11 J18 J21 J27 J33 J36 J168 J72 J75 J78 J81 J84 J87 J90 J93 J96 J100 J103 J106 J109 J112 J118 J121 J124 J128 J131 J134 J140 J143 J147 J150 J153 J165 J8">
      <formula1>AND(J8&gt;0,J8&gt;=J7)</formula1>
    </dataValidation>
    <dataValidation type="whole" operator="lessThanOrEqual" allowBlank="1" showInputMessage="1" showErrorMessage="1" errorTitle="Error en la métrica" error="El valor ingresado en la variable A debe ser menor o igual a la variable B" sqref="J105 J161 J7 J133 J152 J149 J146 J80 J139">
      <formula1>J8</formula1>
    </dataValidation>
    <dataValidation type="whole" operator="lessThan" allowBlank="1" showInputMessage="1" showErrorMessage="1" errorTitle="Error en la métrica" error="El valor ingresado en la variable A debe ser menor al valor ingresado en la variable B._x000a__x000a_" sqref="J42">
      <formula1>J43</formula1>
    </dataValidation>
    <dataValidation type="whole" operator="greaterThanOrEqual" allowBlank="1" showInputMessage="1" showErrorMessage="1" errorTitle="Error en la métrica" error="El valor ingresado en la variable B debe ser mayor o igual a la variable A" sqref="J43">
      <formula1>J42</formula1>
    </dataValidation>
    <dataValidation type="list" allowBlank="1" showInputMessage="1" showErrorMessage="1" errorTitle="Error en Nivel de Importancia" error="No se debe ingresar valores que no están en la lista." sqref="M146:M169 M127:M144 M117:M125">
      <formula1>importancia2</formula1>
    </dataValidation>
    <dataValidation type="list" allowBlank="1" showInputMessage="1" showErrorMessage="1" errorTitle="Error en Nivel de Importancia" error="Error en Nivel de Importancia_x000a_No se debe ingresar valores que no están en la lista." sqref="M99:M115">
      <formula1>importancia2</formula1>
    </dataValidation>
    <dataValidation type="whole" operator="equal" allowBlank="1" showInputMessage="1" showErrorMessage="1" errorTitle="Error en la métrica" error="El valor ingresado en la variable T debe ser 15." sqref="J14">
      <formula1>15</formula1>
    </dataValidation>
    <dataValidation type="list" allowBlank="1" showInputMessage="1" showErrorMessage="1" errorTitle="Error" error="No se debe ingresar valores que no están en la lista." sqref="H7:H15 H17:H40 H68:H97 H99:H115 H117:H125 H127:H144 H146:H169 H42:H66">
      <formula1>aplica2</formula1>
    </dataValidation>
    <dataValidation type="whole" operator="lessThanOrEqual" showInputMessage="1" showErrorMessage="1" errorTitle="Error en la métrica" error="El valor ingresado en la variable A debe ser menor o igual a la variable B" sqref="J10 J17 J20 J26 J32 J35 J68 J71 J74 J77 J83 J86 J89 J92 J95 J99 J102 J108 J111 J117 J120 J123 J127 J130 J142 J158 J164 J167">
      <formula1>J11</formula1>
    </dataValidation>
    <dataValidation type="list" allowBlank="1" showInputMessage="1" showErrorMessage="1" errorTitle="Error en Nivel de Importancia" error="No se debe ingresar valores que no están en la lista." sqref="M7:M15 M17:M40 M42:M66">
      <formula1>importancia</formula1>
    </dataValidation>
    <dataValidation type="list" allowBlank="1" showInputMessage="1" showErrorMessage="1" errorTitle="Error en Nivel de Importancia" error="Error en Nivel de Importancia_x000a_No se debe ingresar valores que no están en la lista." sqref="M68:M97">
      <formula1>importancia</formula1>
    </dataValidation>
    <dataValidation operator="lessThanOrEqual" allowBlank="1" showInputMessage="1" showErrorMessage="1" errorTitle="Mensaje exitoso" error="El valor ingresado en la variable A es mayor al umbral, el cual es considerado no exitoso." sqref="J13 J23 J29 J38 J155"/>
    <dataValidation type="whole" operator="lessThanOrEqual" allowBlank="1" showInputMessage="1" showErrorMessage="1" errorTitle="Error en la métrica" error="El valor ingresado en la variable A debe ser menor al valor ingresado en la variable B._x000a_" sqref="J45">
      <formula1>J46</formula1>
    </dataValidation>
    <dataValidation type="whole" operator="greaterThanOrEqual" allowBlank="1" showInputMessage="1" showErrorMessage="1" errorTitle="Error en la métrica" error="El valor ingresado en la variable B debe ser menor al valor ingresado en la variable A._x000a_" sqref="J56">
      <formula1>J55</formula1>
    </dataValidation>
    <dataValidation operator="lessThanOrEqual" allowBlank="1" showInputMessage="1" showErrorMessage="1" errorTitle="Mensaje exitoso" error="El valor ingresado en la variable A es mayor al umbral, el cual es considerado exitoso." sqref="J48 J58 J61 J64 J136"/>
    <dataValidation allowBlank="1" showInputMessage="1" showErrorMessage="1" errorTitle="Error en la métrica" error="El valor ingresado en la variable A es:_x000a_1. Mayor al umbral, el cual es considerado no exitoso._x000a_2. Igual a 0." sqref="J114"/>
    <dataValidation operator="lessThanOrEqual" allowBlank="1" showInputMessage="1" showErrorMessage="1" errorTitle="Error en la métrica" error="El valor ingresado en la variable A fue mayor que la variable B._x000a_" sqref="J51"/>
    <dataValidation operator="lessThanOrEqual" allowBlank="1" showInputMessage="1" showErrorMessage="1" errorTitle="Error en la métrica" error="El valor ingresado en la variable A debe ser menor o igual a la variable B" sqref="J53"/>
    <dataValidation type="whole" operator="lessThanOrEqual" allowBlank="1" showInputMessage="1" showErrorMessage="1" errorTitle="Error en la métrica" error="El valor ingresado en la variable A debe ser menor al valor ingresado en la variable B._x000a_" sqref="J55">
      <formula1>J56</formula1>
    </dataValidation>
    <dataValidation operator="equal" allowBlank="1" showInputMessage="1" showErrorMessage="1" errorTitle="Error en la métrica" error="El valor ingresado en la variable T debe ser 1." sqref="J24"/>
    <dataValidation type="whole" operator="greaterThan" allowBlank="1" showInputMessage="1" showErrorMessage="1" errorTitle="Error en la métrica" error="El valor ingresado en la variable T debe ser mayor a cero" sqref="J59">
      <formula1>0</formula1>
    </dataValidation>
    <dataValidation type="whole" operator="greaterThanOrEqual" allowBlank="1" showInputMessage="1" showErrorMessage="1" errorTitle="Error en la métrica" error="El valor ingresado en la variable B debe ser mayor o igual a la variable A" sqref="J46">
      <formula1>J45</formula1>
    </dataValidation>
    <dataValidation type="custom" allowBlank="1" showInputMessage="1" showErrorMessage="1" errorTitle="Error en la métrica" error="El valor ingresado en la variable B debe ser:_x000a_1. Mayor a cero._x000a_2. Mayor o igual a la variable A" sqref="J69">
      <formula1>AND(J69&gt;0,J69&gt;=J68)</formula1>
    </dataValidation>
  </dataValidations>
  <pageMargins left="0.7" right="0.7" top="0.75" bottom="0.75" header="0.3" footer="0.3"/>
  <pageSetup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2:Q92"/>
  <sheetViews>
    <sheetView showGridLines="0" zoomScaleNormal="100" workbookViewId="0">
      <selection activeCell="K76" sqref="K76:K78"/>
    </sheetView>
  </sheetViews>
  <sheetFormatPr baseColWidth="10" defaultColWidth="11.42578125" defaultRowHeight="14.25" x14ac:dyDescent="0.2"/>
  <cols>
    <col min="1" max="1" width="6.85546875" style="10" customWidth="1"/>
    <col min="2" max="2" width="28.85546875" style="10" customWidth="1"/>
    <col min="3" max="3" width="36" style="10" customWidth="1"/>
    <col min="4" max="4" width="38.7109375" style="10" customWidth="1"/>
    <col min="5" max="5" width="39.7109375" style="10" customWidth="1"/>
    <col min="6" max="6" width="12.85546875" style="10" customWidth="1"/>
    <col min="7" max="7" width="9.85546875" style="10" customWidth="1"/>
    <col min="8" max="8" width="14" style="10" customWidth="1"/>
    <col min="9" max="9" width="10.28515625" style="10" customWidth="1"/>
    <col min="10" max="10" width="11.140625" style="10" customWidth="1"/>
    <col min="11" max="11" width="20.85546875" style="10" customWidth="1"/>
    <col min="12" max="12" width="20.42578125" style="10" customWidth="1"/>
    <col min="13" max="13" width="19.28515625" style="10" customWidth="1"/>
    <col min="14" max="14" width="23" style="32" customWidth="1"/>
    <col min="15" max="15" width="14.28515625" style="10" customWidth="1"/>
    <col min="16" max="16" width="23.28515625" style="10" customWidth="1"/>
    <col min="17" max="17" width="43" style="10" customWidth="1"/>
    <col min="18" max="16384" width="11.42578125" style="10"/>
  </cols>
  <sheetData>
    <row r="2" spans="2:16" s="9" customFormat="1" ht="15" customHeight="1" x14ac:dyDescent="0.2">
      <c r="B2" s="153" t="s">
        <v>221</v>
      </c>
      <c r="C2" s="153"/>
      <c r="D2" s="153"/>
      <c r="E2" s="153"/>
      <c r="F2" s="153"/>
      <c r="G2" s="153"/>
      <c r="H2" s="153"/>
      <c r="I2" s="153"/>
      <c r="J2" s="153"/>
      <c r="K2" s="153"/>
      <c r="L2" s="153"/>
      <c r="M2" s="153"/>
      <c r="N2" s="153"/>
      <c r="O2" s="153"/>
      <c r="P2" s="153"/>
    </row>
    <row r="3" spans="2:16" s="9" customFormat="1" ht="14.25" customHeight="1" x14ac:dyDescent="0.2">
      <c r="B3" s="153"/>
      <c r="C3" s="153"/>
      <c r="D3" s="153"/>
      <c r="E3" s="153"/>
      <c r="F3" s="153"/>
      <c r="G3" s="153"/>
      <c r="H3" s="153"/>
      <c r="I3" s="153"/>
      <c r="J3" s="153"/>
      <c r="K3" s="153"/>
      <c r="L3" s="153"/>
      <c r="M3" s="153"/>
      <c r="N3" s="153"/>
      <c r="O3" s="153"/>
      <c r="P3" s="153"/>
    </row>
    <row r="5" spans="2:16" ht="15" thickBot="1" x14ac:dyDescent="0.25"/>
    <row r="6" spans="2:16" ht="45.75" customHeight="1" thickBot="1" x14ac:dyDescent="0.25">
      <c r="B6" s="24" t="s">
        <v>0</v>
      </c>
      <c r="C6" s="24" t="s">
        <v>1</v>
      </c>
      <c r="D6" s="24" t="s">
        <v>2</v>
      </c>
      <c r="E6" s="24" t="s">
        <v>23</v>
      </c>
      <c r="F6" s="134" t="s">
        <v>38</v>
      </c>
      <c r="G6" s="134"/>
      <c r="H6" s="28" t="s">
        <v>260</v>
      </c>
      <c r="I6" s="134" t="s">
        <v>34</v>
      </c>
      <c r="J6" s="134"/>
      <c r="K6" s="28" t="s">
        <v>266</v>
      </c>
      <c r="L6" s="24" t="s">
        <v>36</v>
      </c>
      <c r="M6" s="24" t="s">
        <v>222</v>
      </c>
      <c r="N6" s="33" t="s">
        <v>35</v>
      </c>
      <c r="O6" s="24" t="s">
        <v>242</v>
      </c>
      <c r="P6" s="24" t="s">
        <v>39</v>
      </c>
    </row>
    <row r="7" spans="2:16" ht="39.75" customHeight="1" thickBot="1" x14ac:dyDescent="0.25">
      <c r="B7" s="127" t="s">
        <v>171</v>
      </c>
      <c r="C7" s="80" t="s">
        <v>171</v>
      </c>
      <c r="D7" s="105" t="s">
        <v>231</v>
      </c>
      <c r="E7" s="80" t="s">
        <v>280</v>
      </c>
      <c r="F7" s="106">
        <v>1</v>
      </c>
      <c r="G7" s="106"/>
      <c r="H7" s="74" t="s">
        <v>261</v>
      </c>
      <c r="I7" s="13" t="s">
        <v>48</v>
      </c>
      <c r="J7" s="26">
        <v>21</v>
      </c>
      <c r="K7" s="111">
        <f>IF((J9="NA"),"NA",((J9/F7)*10))</f>
        <v>10</v>
      </c>
      <c r="L7" s="111">
        <f>IF(AND(H7="No",H10="No",H13="No"),0,AVERAGE(K7:K15))</f>
        <v>10</v>
      </c>
      <c r="M7" s="160" t="s">
        <v>257</v>
      </c>
      <c r="N7" s="169">
        <v>0.3</v>
      </c>
      <c r="O7" s="111">
        <f>L7*N7</f>
        <v>3</v>
      </c>
      <c r="P7" s="176">
        <f>SUM(O7,O17,O39,O49,O86)</f>
        <v>9.0700854700854698</v>
      </c>
    </row>
    <row r="8" spans="2:16" ht="31.5" customHeight="1" thickBot="1" x14ac:dyDescent="0.25">
      <c r="B8" s="127"/>
      <c r="C8" s="92"/>
      <c r="D8" s="105" t="s">
        <v>24</v>
      </c>
      <c r="E8" s="79"/>
      <c r="F8" s="106"/>
      <c r="G8" s="106"/>
      <c r="H8" s="79"/>
      <c r="I8" s="15" t="s">
        <v>47</v>
      </c>
      <c r="J8" s="27">
        <v>21</v>
      </c>
      <c r="K8" s="111"/>
      <c r="L8" s="111"/>
      <c r="M8" s="161"/>
      <c r="N8" s="169"/>
      <c r="O8" s="111"/>
      <c r="P8" s="177"/>
    </row>
    <row r="9" spans="2:16" ht="34.5" customHeight="1" thickBot="1" x14ac:dyDescent="0.25">
      <c r="B9" s="127"/>
      <c r="C9" s="92"/>
      <c r="D9" s="105" t="s">
        <v>25</v>
      </c>
      <c r="E9" s="75"/>
      <c r="F9" s="106"/>
      <c r="G9" s="106"/>
      <c r="H9" s="75"/>
      <c r="I9" s="16" t="s">
        <v>49</v>
      </c>
      <c r="J9" s="6">
        <f>IF(AND(H7="Si"),(J7/J8),"NA")</f>
        <v>1</v>
      </c>
      <c r="K9" s="111"/>
      <c r="L9" s="111"/>
      <c r="M9" s="161"/>
      <c r="N9" s="169"/>
      <c r="O9" s="111"/>
      <c r="P9" s="177"/>
    </row>
    <row r="10" spans="2:16" ht="31.5" customHeight="1" thickBot="1" x14ac:dyDescent="0.25">
      <c r="B10" s="127"/>
      <c r="C10" s="92"/>
      <c r="D10" s="105" t="s">
        <v>172</v>
      </c>
      <c r="E10" s="105" t="s">
        <v>232</v>
      </c>
      <c r="F10" s="106">
        <v>1</v>
      </c>
      <c r="G10" s="106"/>
      <c r="H10" s="74" t="s">
        <v>261</v>
      </c>
      <c r="I10" s="13" t="s">
        <v>48</v>
      </c>
      <c r="J10" s="26">
        <v>2</v>
      </c>
      <c r="K10" s="111">
        <f>IF((J12="NA"),"NA",((J12/F10)*10))</f>
        <v>10</v>
      </c>
      <c r="L10" s="111"/>
      <c r="M10" s="161"/>
      <c r="N10" s="169"/>
      <c r="O10" s="111"/>
      <c r="P10" s="177"/>
    </row>
    <row r="11" spans="2:16" ht="27" customHeight="1" thickBot="1" x14ac:dyDescent="0.25">
      <c r="B11" s="127"/>
      <c r="C11" s="92"/>
      <c r="D11" s="105"/>
      <c r="E11" s="105"/>
      <c r="F11" s="106"/>
      <c r="G11" s="106"/>
      <c r="H11" s="79"/>
      <c r="I11" s="15" t="s">
        <v>47</v>
      </c>
      <c r="J11" s="27">
        <v>2</v>
      </c>
      <c r="K11" s="111"/>
      <c r="L11" s="111"/>
      <c r="M11" s="161"/>
      <c r="N11" s="169"/>
      <c r="O11" s="111"/>
      <c r="P11" s="177"/>
    </row>
    <row r="12" spans="2:16" ht="27" customHeight="1" thickBot="1" x14ac:dyDescent="0.25">
      <c r="B12" s="127"/>
      <c r="C12" s="92"/>
      <c r="D12" s="105"/>
      <c r="E12" s="105"/>
      <c r="F12" s="106"/>
      <c r="G12" s="106"/>
      <c r="H12" s="75"/>
      <c r="I12" s="16" t="s">
        <v>49</v>
      </c>
      <c r="J12" s="6">
        <f>IF(AND(H10="Si"),(J10/J11),"NA")</f>
        <v>1</v>
      </c>
      <c r="K12" s="111"/>
      <c r="L12" s="111"/>
      <c r="M12" s="161"/>
      <c r="N12" s="169"/>
      <c r="O12" s="111"/>
      <c r="P12" s="177"/>
    </row>
    <row r="13" spans="2:16" ht="38.25" customHeight="1" thickBot="1" x14ac:dyDescent="0.25">
      <c r="B13" s="127"/>
      <c r="C13" s="92"/>
      <c r="D13" s="105" t="s">
        <v>174</v>
      </c>
      <c r="E13" s="105" t="s">
        <v>173</v>
      </c>
      <c r="F13" s="105">
        <v>0</v>
      </c>
      <c r="G13" s="106"/>
      <c r="H13" s="74" t="s">
        <v>262</v>
      </c>
      <c r="I13" s="13" t="s">
        <v>48</v>
      </c>
      <c r="J13" s="26"/>
      <c r="K13" s="104" t="str">
        <f>IF((J15="NA"),"NA",((1-J15)*10))</f>
        <v>NA</v>
      </c>
      <c r="L13" s="111"/>
      <c r="M13" s="161"/>
      <c r="N13" s="169"/>
      <c r="O13" s="111"/>
      <c r="P13" s="177"/>
    </row>
    <row r="14" spans="2:16" ht="32.25" customHeight="1" thickBot="1" x14ac:dyDescent="0.25">
      <c r="B14" s="127"/>
      <c r="C14" s="92"/>
      <c r="D14" s="105"/>
      <c r="E14" s="106"/>
      <c r="F14" s="106"/>
      <c r="G14" s="106"/>
      <c r="H14" s="79"/>
      <c r="I14" s="15" t="s">
        <v>47</v>
      </c>
      <c r="J14" s="27"/>
      <c r="K14" s="104"/>
      <c r="L14" s="111"/>
      <c r="M14" s="161"/>
      <c r="N14" s="169"/>
      <c r="O14" s="111"/>
      <c r="P14" s="177"/>
    </row>
    <row r="15" spans="2:16" ht="33.75" customHeight="1" thickBot="1" x14ac:dyDescent="0.25">
      <c r="B15" s="127"/>
      <c r="C15" s="93"/>
      <c r="D15" s="105"/>
      <c r="E15" s="106"/>
      <c r="F15" s="106"/>
      <c r="G15" s="106"/>
      <c r="H15" s="75"/>
      <c r="I15" s="16" t="s">
        <v>33</v>
      </c>
      <c r="J15" s="6" t="str">
        <f>IF(AND(H13="Si"),((J13/J14)),"NA")</f>
        <v>NA</v>
      </c>
      <c r="K15" s="104"/>
      <c r="L15" s="111"/>
      <c r="M15" s="162"/>
      <c r="N15" s="169"/>
      <c r="O15" s="111"/>
      <c r="P15" s="177"/>
    </row>
    <row r="16" spans="2:16" ht="5.25" customHeight="1" thickBot="1" x14ac:dyDescent="0.25">
      <c r="B16" s="124"/>
      <c r="C16" s="125"/>
      <c r="D16" s="125"/>
      <c r="E16" s="125"/>
      <c r="F16" s="125"/>
      <c r="G16" s="125"/>
      <c r="H16" s="125"/>
      <c r="I16" s="125"/>
      <c r="J16" s="125"/>
      <c r="K16" s="125"/>
      <c r="L16" s="125"/>
      <c r="M16" s="125"/>
      <c r="N16" s="125"/>
      <c r="O16" s="126"/>
      <c r="P16" s="177"/>
    </row>
    <row r="17" spans="1:16" ht="38.25" customHeight="1" thickBot="1" x14ac:dyDescent="0.25">
      <c r="B17" s="118" t="s">
        <v>175</v>
      </c>
      <c r="C17" s="80" t="s">
        <v>175</v>
      </c>
      <c r="D17" s="90" t="s">
        <v>176</v>
      </c>
      <c r="E17" s="89" t="s">
        <v>323</v>
      </c>
      <c r="F17" s="91">
        <v>1</v>
      </c>
      <c r="G17" s="91"/>
      <c r="H17" s="74" t="s">
        <v>261</v>
      </c>
      <c r="I17" s="13" t="s">
        <v>48</v>
      </c>
      <c r="J17" s="26">
        <v>20</v>
      </c>
      <c r="K17" s="104">
        <f>IF((J19="NA"),"NA",((J19)*10))</f>
        <v>6.6666666666666661</v>
      </c>
      <c r="L17" s="85">
        <f>IF(AND(H17="No",H20="No",H23="No",H26="No",H29="No",H32="No",H35="No"),0,AVERAGE(K17:K37))</f>
        <v>7.3504273504273501</v>
      </c>
      <c r="M17" s="160" t="s">
        <v>223</v>
      </c>
      <c r="N17" s="157">
        <v>0.2</v>
      </c>
      <c r="O17" s="85">
        <f>L17*N17</f>
        <v>1.4700854700854702</v>
      </c>
      <c r="P17" s="177"/>
    </row>
    <row r="18" spans="1:16" ht="30" customHeight="1" thickBot="1" x14ac:dyDescent="0.25">
      <c r="B18" s="119"/>
      <c r="C18" s="92"/>
      <c r="D18" s="90"/>
      <c r="E18" s="94"/>
      <c r="F18" s="91"/>
      <c r="G18" s="91"/>
      <c r="H18" s="79"/>
      <c r="I18" s="15" t="s">
        <v>47</v>
      </c>
      <c r="J18" s="27">
        <v>30</v>
      </c>
      <c r="K18" s="104"/>
      <c r="L18" s="86"/>
      <c r="M18" s="161"/>
      <c r="N18" s="158"/>
      <c r="O18" s="86"/>
      <c r="P18" s="177"/>
    </row>
    <row r="19" spans="1:16" s="17" customFormat="1" ht="36" customHeight="1" thickBot="1" x14ac:dyDescent="0.25">
      <c r="A19" s="10"/>
      <c r="B19" s="119"/>
      <c r="C19" s="92"/>
      <c r="D19" s="90"/>
      <c r="E19" s="95"/>
      <c r="F19" s="91"/>
      <c r="G19" s="91"/>
      <c r="H19" s="75"/>
      <c r="I19" s="16" t="s">
        <v>33</v>
      </c>
      <c r="J19" s="6">
        <f>IF(AND(H17="Si"),((J17/J18)),"NA")</f>
        <v>0.66666666666666663</v>
      </c>
      <c r="K19" s="104"/>
      <c r="L19" s="86"/>
      <c r="M19" s="161"/>
      <c r="N19" s="158"/>
      <c r="O19" s="86"/>
      <c r="P19" s="177"/>
    </row>
    <row r="20" spans="1:16" s="17" customFormat="1" ht="35.25" customHeight="1" thickBot="1" x14ac:dyDescent="0.25">
      <c r="A20" s="10"/>
      <c r="B20" s="119"/>
      <c r="C20" s="92"/>
      <c r="D20" s="90" t="s">
        <v>177</v>
      </c>
      <c r="E20" s="113" t="s">
        <v>296</v>
      </c>
      <c r="F20" s="106">
        <v>1</v>
      </c>
      <c r="G20" s="106"/>
      <c r="H20" s="74" t="s">
        <v>261</v>
      </c>
      <c r="I20" s="13" t="s">
        <v>48</v>
      </c>
      <c r="J20" s="26">
        <v>35</v>
      </c>
      <c r="K20" s="111">
        <f>IF((J22="NA"),"NA",((J22/F20)*10))</f>
        <v>5.3846153846153841</v>
      </c>
      <c r="L20" s="86"/>
      <c r="M20" s="161"/>
      <c r="N20" s="158"/>
      <c r="O20" s="86"/>
      <c r="P20" s="177"/>
    </row>
    <row r="21" spans="1:16" s="17" customFormat="1" ht="37.5" customHeight="1" thickBot="1" x14ac:dyDescent="0.25">
      <c r="A21" s="10"/>
      <c r="B21" s="119"/>
      <c r="C21" s="92"/>
      <c r="D21" s="90"/>
      <c r="E21" s="114"/>
      <c r="F21" s="106"/>
      <c r="G21" s="106"/>
      <c r="H21" s="79"/>
      <c r="I21" s="15" t="s">
        <v>47</v>
      </c>
      <c r="J21" s="27">
        <v>65</v>
      </c>
      <c r="K21" s="111"/>
      <c r="L21" s="86"/>
      <c r="M21" s="161"/>
      <c r="N21" s="158"/>
      <c r="O21" s="86"/>
      <c r="P21" s="177"/>
    </row>
    <row r="22" spans="1:16" s="17" customFormat="1" ht="42" customHeight="1" thickBot="1" x14ac:dyDescent="0.25">
      <c r="A22" s="10"/>
      <c r="B22" s="119"/>
      <c r="C22" s="92"/>
      <c r="D22" s="90"/>
      <c r="E22" s="115"/>
      <c r="F22" s="106"/>
      <c r="G22" s="106"/>
      <c r="H22" s="75"/>
      <c r="I22" s="16" t="s">
        <v>49</v>
      </c>
      <c r="J22" s="6">
        <f>IF(AND(H20="Si"),(J20/J21),"NA")</f>
        <v>0.53846153846153844</v>
      </c>
      <c r="K22" s="111"/>
      <c r="L22" s="86"/>
      <c r="M22" s="161"/>
      <c r="N22" s="158"/>
      <c r="O22" s="86"/>
      <c r="P22" s="177"/>
    </row>
    <row r="23" spans="1:16" s="17" customFormat="1" ht="36" customHeight="1" thickBot="1" x14ac:dyDescent="0.25">
      <c r="A23" s="10"/>
      <c r="B23" s="119"/>
      <c r="C23" s="92"/>
      <c r="D23" s="89" t="s">
        <v>179</v>
      </c>
      <c r="E23" s="90" t="s">
        <v>180</v>
      </c>
      <c r="F23" s="90" t="s">
        <v>297</v>
      </c>
      <c r="G23" s="91"/>
      <c r="H23" s="74" t="s">
        <v>261</v>
      </c>
      <c r="I23" s="18" t="s">
        <v>48</v>
      </c>
      <c r="J23" s="29">
        <v>14</v>
      </c>
      <c r="K23" s="85">
        <f>IF((J25="NA"),"NA",IF(J23&gt;=10,10,((J23/10)*10)))</f>
        <v>10</v>
      </c>
      <c r="L23" s="86"/>
      <c r="M23" s="161"/>
      <c r="N23" s="158"/>
      <c r="O23" s="86"/>
      <c r="P23" s="177"/>
    </row>
    <row r="24" spans="1:16" s="17" customFormat="1" ht="39.75" customHeight="1" thickBot="1" x14ac:dyDescent="0.25">
      <c r="A24" s="10"/>
      <c r="B24" s="119"/>
      <c r="C24" s="92"/>
      <c r="D24" s="94"/>
      <c r="E24" s="90"/>
      <c r="F24" s="91"/>
      <c r="G24" s="91"/>
      <c r="H24" s="79"/>
      <c r="I24" s="19" t="s">
        <v>51</v>
      </c>
      <c r="J24" s="45">
        <f>IF(H23="Si",15,"")</f>
        <v>15</v>
      </c>
      <c r="K24" s="86"/>
      <c r="L24" s="86"/>
      <c r="M24" s="161"/>
      <c r="N24" s="158"/>
      <c r="O24" s="86"/>
      <c r="P24" s="177"/>
    </row>
    <row r="25" spans="1:16" s="17" customFormat="1" ht="29.25" customHeight="1" thickBot="1" x14ac:dyDescent="0.25">
      <c r="A25" s="10"/>
      <c r="B25" s="119"/>
      <c r="C25" s="92"/>
      <c r="D25" s="95"/>
      <c r="E25" s="90"/>
      <c r="F25" s="91"/>
      <c r="G25" s="91"/>
      <c r="H25" s="75"/>
      <c r="I25" s="20" t="s">
        <v>49</v>
      </c>
      <c r="J25" s="7" t="str">
        <f>IF((H23="Si"),(J23&amp;"/"&amp;J24&amp;"min"),"NA")</f>
        <v>14/15min</v>
      </c>
      <c r="K25" s="100"/>
      <c r="L25" s="86"/>
      <c r="M25" s="161"/>
      <c r="N25" s="158"/>
      <c r="O25" s="86"/>
      <c r="P25" s="177"/>
    </row>
    <row r="26" spans="1:16" s="17" customFormat="1" ht="36" customHeight="1" thickBot="1" x14ac:dyDescent="0.25">
      <c r="A26" s="10"/>
      <c r="B26" s="119"/>
      <c r="C26" s="92"/>
      <c r="D26" s="105" t="s">
        <v>178</v>
      </c>
      <c r="E26" s="116" t="s">
        <v>181</v>
      </c>
      <c r="F26" s="132">
        <v>1</v>
      </c>
      <c r="G26" s="132"/>
      <c r="H26" s="74" t="s">
        <v>262</v>
      </c>
      <c r="I26" s="13" t="s">
        <v>48</v>
      </c>
      <c r="J26" s="26"/>
      <c r="K26" s="111" t="str">
        <f>IF((J28="NA"),"NA",((J28/F26)*10))</f>
        <v>NA</v>
      </c>
      <c r="L26" s="86"/>
      <c r="M26" s="161"/>
      <c r="N26" s="158"/>
      <c r="O26" s="86"/>
      <c r="P26" s="177"/>
    </row>
    <row r="27" spans="1:16" s="17" customFormat="1" ht="34.5" customHeight="1" thickBot="1" x14ac:dyDescent="0.25">
      <c r="A27" s="10"/>
      <c r="B27" s="119"/>
      <c r="C27" s="92"/>
      <c r="D27" s="105"/>
      <c r="E27" s="116"/>
      <c r="F27" s="132"/>
      <c r="G27" s="132"/>
      <c r="H27" s="79"/>
      <c r="I27" s="15" t="s">
        <v>47</v>
      </c>
      <c r="J27" s="27"/>
      <c r="K27" s="111"/>
      <c r="L27" s="86"/>
      <c r="M27" s="161"/>
      <c r="N27" s="158"/>
      <c r="O27" s="86"/>
      <c r="P27" s="177"/>
    </row>
    <row r="28" spans="1:16" s="17" customFormat="1" ht="36.75" customHeight="1" thickBot="1" x14ac:dyDescent="0.25">
      <c r="A28" s="10"/>
      <c r="B28" s="119"/>
      <c r="C28" s="92"/>
      <c r="D28" s="105"/>
      <c r="E28" s="116"/>
      <c r="F28" s="132"/>
      <c r="G28" s="132"/>
      <c r="H28" s="75"/>
      <c r="I28" s="16" t="s">
        <v>49</v>
      </c>
      <c r="J28" s="6" t="str">
        <f>IF(AND(H26="Si"),(J26/J27),"NA")</f>
        <v>NA</v>
      </c>
      <c r="K28" s="111"/>
      <c r="L28" s="86"/>
      <c r="M28" s="161"/>
      <c r="N28" s="158"/>
      <c r="O28" s="86"/>
      <c r="P28" s="177"/>
    </row>
    <row r="29" spans="1:16" s="17" customFormat="1" ht="36.75" customHeight="1" thickBot="1" x14ac:dyDescent="0.25">
      <c r="A29" s="10"/>
      <c r="B29" s="119"/>
      <c r="C29" s="92"/>
      <c r="D29" s="90" t="s">
        <v>182</v>
      </c>
      <c r="E29" s="90" t="s">
        <v>233</v>
      </c>
      <c r="F29" s="91">
        <v>1</v>
      </c>
      <c r="G29" s="91"/>
      <c r="H29" s="74" t="s">
        <v>262</v>
      </c>
      <c r="I29" s="13" t="s">
        <v>48</v>
      </c>
      <c r="J29" s="26"/>
      <c r="K29" s="111" t="str">
        <f>IF((J31="NA"),"NA",((J31/F29)*10))</f>
        <v>NA</v>
      </c>
      <c r="L29" s="86"/>
      <c r="M29" s="161"/>
      <c r="N29" s="158"/>
      <c r="O29" s="86"/>
      <c r="P29" s="177"/>
    </row>
    <row r="30" spans="1:16" s="17" customFormat="1" ht="36.75" customHeight="1" thickBot="1" x14ac:dyDescent="0.25">
      <c r="A30" s="10"/>
      <c r="B30" s="119"/>
      <c r="C30" s="92"/>
      <c r="D30" s="90"/>
      <c r="E30" s="90"/>
      <c r="F30" s="91"/>
      <c r="G30" s="91"/>
      <c r="H30" s="79"/>
      <c r="I30" s="15" t="s">
        <v>47</v>
      </c>
      <c r="J30" s="27"/>
      <c r="K30" s="111"/>
      <c r="L30" s="86"/>
      <c r="M30" s="161"/>
      <c r="N30" s="158"/>
      <c r="O30" s="86"/>
      <c r="P30" s="177"/>
    </row>
    <row r="31" spans="1:16" s="17" customFormat="1" ht="36.75" customHeight="1" thickBot="1" x14ac:dyDescent="0.25">
      <c r="A31" s="10"/>
      <c r="B31" s="119"/>
      <c r="C31" s="92"/>
      <c r="D31" s="90"/>
      <c r="E31" s="90"/>
      <c r="F31" s="91"/>
      <c r="G31" s="91"/>
      <c r="H31" s="75"/>
      <c r="I31" s="16" t="s">
        <v>49</v>
      </c>
      <c r="J31" s="6" t="str">
        <f>IF(AND(H29="Si"),(J29/J30),"NA")</f>
        <v>NA</v>
      </c>
      <c r="K31" s="111"/>
      <c r="L31" s="86"/>
      <c r="M31" s="161"/>
      <c r="N31" s="158"/>
      <c r="O31" s="86"/>
      <c r="P31" s="177"/>
    </row>
    <row r="32" spans="1:16" s="17" customFormat="1" ht="36.75" customHeight="1" thickBot="1" x14ac:dyDescent="0.25">
      <c r="A32" s="10"/>
      <c r="B32" s="119"/>
      <c r="C32" s="92"/>
      <c r="D32" s="90" t="s">
        <v>183</v>
      </c>
      <c r="E32" s="89" t="s">
        <v>234</v>
      </c>
      <c r="F32" s="91">
        <v>0</v>
      </c>
      <c r="G32" s="91"/>
      <c r="H32" s="74" t="s">
        <v>262</v>
      </c>
      <c r="I32" s="13" t="s">
        <v>48</v>
      </c>
      <c r="J32" s="26"/>
      <c r="K32" s="104" t="str">
        <f>IF((J34="NA"),"NA",((1-J34)*10))</f>
        <v>NA</v>
      </c>
      <c r="L32" s="86"/>
      <c r="M32" s="161"/>
      <c r="N32" s="158"/>
      <c r="O32" s="86"/>
      <c r="P32" s="177"/>
    </row>
    <row r="33" spans="1:17" s="17" customFormat="1" ht="36.75" customHeight="1" thickBot="1" x14ac:dyDescent="0.25">
      <c r="A33" s="10"/>
      <c r="B33" s="119"/>
      <c r="C33" s="92"/>
      <c r="D33" s="90"/>
      <c r="E33" s="94"/>
      <c r="F33" s="91"/>
      <c r="G33" s="91"/>
      <c r="H33" s="79"/>
      <c r="I33" s="15" t="s">
        <v>47</v>
      </c>
      <c r="J33" s="27"/>
      <c r="K33" s="104"/>
      <c r="L33" s="86"/>
      <c r="M33" s="161"/>
      <c r="N33" s="158"/>
      <c r="O33" s="86"/>
      <c r="P33" s="177"/>
    </row>
    <row r="34" spans="1:17" s="17" customFormat="1" ht="36.75" customHeight="1" thickBot="1" x14ac:dyDescent="0.25">
      <c r="A34" s="10"/>
      <c r="B34" s="119"/>
      <c r="C34" s="92"/>
      <c r="D34" s="90"/>
      <c r="E34" s="95"/>
      <c r="F34" s="91"/>
      <c r="G34" s="91"/>
      <c r="H34" s="75"/>
      <c r="I34" s="16" t="s">
        <v>33</v>
      </c>
      <c r="J34" s="6" t="str">
        <f>IF(AND(H32="Si"),((J32/J33)),"NA")</f>
        <v>NA</v>
      </c>
      <c r="K34" s="104"/>
      <c r="L34" s="86"/>
      <c r="M34" s="161"/>
      <c r="N34" s="158"/>
      <c r="O34" s="86"/>
      <c r="P34" s="177"/>
    </row>
    <row r="35" spans="1:17" ht="45.75" customHeight="1" thickBot="1" x14ac:dyDescent="0.25">
      <c r="B35" s="119"/>
      <c r="C35" s="92"/>
      <c r="D35" s="113" t="s">
        <v>184</v>
      </c>
      <c r="E35" s="80" t="s">
        <v>185</v>
      </c>
      <c r="F35" s="81">
        <v>1</v>
      </c>
      <c r="G35" s="82"/>
      <c r="H35" s="74" t="s">
        <v>262</v>
      </c>
      <c r="I35" s="13" t="s">
        <v>48</v>
      </c>
      <c r="J35" s="26"/>
      <c r="K35" s="111" t="str">
        <f>IF((J37="NA"),"NA",((J37/F35)*10))</f>
        <v>NA</v>
      </c>
      <c r="L35" s="86"/>
      <c r="M35" s="161"/>
      <c r="N35" s="158"/>
      <c r="O35" s="86"/>
      <c r="P35" s="177"/>
    </row>
    <row r="36" spans="1:17" ht="42.75" customHeight="1" thickBot="1" x14ac:dyDescent="0.25">
      <c r="B36" s="119"/>
      <c r="C36" s="92"/>
      <c r="D36" s="114"/>
      <c r="E36" s="79"/>
      <c r="F36" s="83"/>
      <c r="G36" s="84"/>
      <c r="H36" s="79"/>
      <c r="I36" s="15" t="s">
        <v>47</v>
      </c>
      <c r="J36" s="27"/>
      <c r="K36" s="111"/>
      <c r="L36" s="86"/>
      <c r="M36" s="161"/>
      <c r="N36" s="158"/>
      <c r="O36" s="86"/>
      <c r="P36" s="177"/>
    </row>
    <row r="37" spans="1:17" ht="39.75" customHeight="1" thickBot="1" x14ac:dyDescent="0.25">
      <c r="B37" s="120"/>
      <c r="C37" s="93"/>
      <c r="D37" s="115"/>
      <c r="E37" s="75"/>
      <c r="F37" s="102"/>
      <c r="G37" s="103"/>
      <c r="H37" s="75"/>
      <c r="I37" s="16" t="s">
        <v>49</v>
      </c>
      <c r="J37" s="6" t="str">
        <f>IF(AND(H35="Si"),(J35/J36),"NA")</f>
        <v>NA</v>
      </c>
      <c r="K37" s="111"/>
      <c r="L37" s="100"/>
      <c r="M37" s="162"/>
      <c r="N37" s="159"/>
      <c r="O37" s="100"/>
      <c r="P37" s="177"/>
    </row>
    <row r="38" spans="1:17" ht="5.25" customHeight="1" thickBot="1" x14ac:dyDescent="0.25">
      <c r="B38" s="96"/>
      <c r="C38" s="97"/>
      <c r="D38" s="97"/>
      <c r="E38" s="97"/>
      <c r="F38" s="97"/>
      <c r="G38" s="97"/>
      <c r="H38" s="97"/>
      <c r="I38" s="97"/>
      <c r="J38" s="97"/>
      <c r="K38" s="97"/>
      <c r="L38" s="97"/>
      <c r="M38" s="97"/>
      <c r="N38" s="97"/>
      <c r="O38" s="98"/>
      <c r="P38" s="177"/>
    </row>
    <row r="39" spans="1:17" ht="33.75" customHeight="1" thickBot="1" x14ac:dyDescent="0.25">
      <c r="B39" s="127" t="s">
        <v>186</v>
      </c>
      <c r="C39" s="80" t="s">
        <v>187</v>
      </c>
      <c r="D39" s="80" t="s">
        <v>188</v>
      </c>
      <c r="E39" s="80" t="s">
        <v>189</v>
      </c>
      <c r="F39" s="81">
        <v>1</v>
      </c>
      <c r="G39" s="82"/>
      <c r="H39" s="74" t="s">
        <v>261</v>
      </c>
      <c r="I39" s="13" t="s">
        <v>48</v>
      </c>
      <c r="J39" s="26">
        <v>7</v>
      </c>
      <c r="K39" s="111">
        <f>IF((J41="NA"),"NA",((J41/F39)*10))</f>
        <v>7</v>
      </c>
      <c r="L39" s="111">
        <f>IF(AND(H39="No",H42="No",H45="No"),0,AVERAGE(K39:K47))</f>
        <v>9</v>
      </c>
      <c r="M39" s="160" t="s">
        <v>257</v>
      </c>
      <c r="N39" s="169">
        <v>0.4</v>
      </c>
      <c r="O39" s="111">
        <f>L39*N39</f>
        <v>3.6</v>
      </c>
      <c r="P39" s="177"/>
    </row>
    <row r="40" spans="1:17" ht="33.75" customHeight="1" thickBot="1" x14ac:dyDescent="0.25">
      <c r="B40" s="127"/>
      <c r="C40" s="92"/>
      <c r="D40" s="92"/>
      <c r="E40" s="79"/>
      <c r="F40" s="83"/>
      <c r="G40" s="84"/>
      <c r="H40" s="79"/>
      <c r="I40" s="15" t="s">
        <v>47</v>
      </c>
      <c r="J40" s="27">
        <v>10</v>
      </c>
      <c r="K40" s="111"/>
      <c r="L40" s="112"/>
      <c r="M40" s="161"/>
      <c r="N40" s="169"/>
      <c r="O40" s="111"/>
      <c r="P40" s="177"/>
    </row>
    <row r="41" spans="1:17" ht="35.25" customHeight="1" thickBot="1" x14ac:dyDescent="0.25">
      <c r="B41" s="127"/>
      <c r="C41" s="92"/>
      <c r="D41" s="93"/>
      <c r="E41" s="75"/>
      <c r="F41" s="102"/>
      <c r="G41" s="103"/>
      <c r="H41" s="75"/>
      <c r="I41" s="16" t="s">
        <v>49</v>
      </c>
      <c r="J41" s="6">
        <f>IF(AND(H39="Si"),(J39/J40),"NA")</f>
        <v>0.7</v>
      </c>
      <c r="K41" s="111"/>
      <c r="L41" s="112"/>
      <c r="M41" s="161"/>
      <c r="N41" s="169"/>
      <c r="O41" s="111"/>
      <c r="P41" s="177"/>
    </row>
    <row r="42" spans="1:17" ht="39" customHeight="1" thickBot="1" x14ac:dyDescent="0.25">
      <c r="B42" s="127"/>
      <c r="C42" s="92"/>
      <c r="D42" s="80" t="s">
        <v>282</v>
      </c>
      <c r="E42" s="80" t="s">
        <v>281</v>
      </c>
      <c r="F42" s="81">
        <v>1</v>
      </c>
      <c r="G42" s="82"/>
      <c r="H42" s="74" t="s">
        <v>261</v>
      </c>
      <c r="I42" s="13" t="s">
        <v>48</v>
      </c>
      <c r="J42" s="26">
        <v>2</v>
      </c>
      <c r="K42" s="111">
        <f>IF((J44="NA"),"NA",((J44/F42)*10))</f>
        <v>10</v>
      </c>
      <c r="L42" s="112"/>
      <c r="M42" s="161"/>
      <c r="N42" s="169"/>
      <c r="O42" s="111"/>
      <c r="P42" s="177"/>
    </row>
    <row r="43" spans="1:17" ht="36.75" customHeight="1" thickBot="1" x14ac:dyDescent="0.25">
      <c r="B43" s="127"/>
      <c r="C43" s="92"/>
      <c r="D43" s="92"/>
      <c r="E43" s="79"/>
      <c r="F43" s="83"/>
      <c r="G43" s="84"/>
      <c r="H43" s="79"/>
      <c r="I43" s="15" t="s">
        <v>47</v>
      </c>
      <c r="J43" s="27">
        <v>2</v>
      </c>
      <c r="K43" s="111"/>
      <c r="L43" s="112"/>
      <c r="M43" s="161"/>
      <c r="N43" s="169"/>
      <c r="O43" s="111"/>
      <c r="P43" s="177"/>
    </row>
    <row r="44" spans="1:17" ht="36" customHeight="1" thickBot="1" x14ac:dyDescent="0.25">
      <c r="B44" s="127"/>
      <c r="C44" s="92"/>
      <c r="D44" s="93"/>
      <c r="E44" s="75"/>
      <c r="F44" s="102"/>
      <c r="G44" s="103"/>
      <c r="H44" s="75"/>
      <c r="I44" s="16" t="s">
        <v>49</v>
      </c>
      <c r="J44" s="6">
        <f>IF(AND(H42="Si"),(J42/J43),"NA")</f>
        <v>1</v>
      </c>
      <c r="K44" s="111"/>
      <c r="L44" s="112"/>
      <c r="M44" s="161"/>
      <c r="N44" s="169"/>
      <c r="O44" s="111"/>
      <c r="P44" s="177"/>
    </row>
    <row r="45" spans="1:17" ht="43.5" customHeight="1" thickBot="1" x14ac:dyDescent="0.25">
      <c r="B45" s="127"/>
      <c r="C45" s="92"/>
      <c r="D45" s="74" t="s">
        <v>190</v>
      </c>
      <c r="E45" s="80" t="s">
        <v>191</v>
      </c>
      <c r="F45" s="105">
        <v>0</v>
      </c>
      <c r="G45" s="106"/>
      <c r="H45" s="74" t="s">
        <v>261</v>
      </c>
      <c r="I45" s="13" t="s">
        <v>48</v>
      </c>
      <c r="J45" s="26">
        <v>0</v>
      </c>
      <c r="K45" s="104">
        <f>IF((J47="NA"),"NA",((1-J47)*10))</f>
        <v>10</v>
      </c>
      <c r="L45" s="112"/>
      <c r="M45" s="161"/>
      <c r="N45" s="169"/>
      <c r="O45" s="111"/>
      <c r="P45" s="177"/>
      <c r="Q45" s="179" t="str">
        <f>IF(N92=100%," ","ERROR:
Revisar la columna PORCENTAJE DE IMPORTANCIA, los valores que fueron ingresados en las distintas celdas no deben sobrepasar el 100%")</f>
        <v xml:space="preserve"> </v>
      </c>
    </row>
    <row r="46" spans="1:17" ht="34.5" customHeight="1" thickBot="1" x14ac:dyDescent="0.25">
      <c r="B46" s="127"/>
      <c r="C46" s="92"/>
      <c r="D46" s="79"/>
      <c r="E46" s="79"/>
      <c r="F46" s="106"/>
      <c r="G46" s="106"/>
      <c r="H46" s="79"/>
      <c r="I46" s="15" t="s">
        <v>47</v>
      </c>
      <c r="J46" s="27">
        <v>2</v>
      </c>
      <c r="K46" s="104"/>
      <c r="L46" s="112"/>
      <c r="M46" s="161"/>
      <c r="N46" s="169"/>
      <c r="O46" s="111"/>
      <c r="P46" s="177"/>
      <c r="Q46" s="179"/>
    </row>
    <row r="47" spans="1:17" ht="34.5" customHeight="1" thickBot="1" x14ac:dyDescent="0.25">
      <c r="B47" s="127"/>
      <c r="C47" s="92"/>
      <c r="D47" s="75"/>
      <c r="E47" s="75"/>
      <c r="F47" s="106"/>
      <c r="G47" s="106"/>
      <c r="H47" s="75"/>
      <c r="I47" s="16" t="s">
        <v>33</v>
      </c>
      <c r="J47" s="6">
        <f>IF(AND(H45="Si"),((J45/J46)),"NA")</f>
        <v>0</v>
      </c>
      <c r="K47" s="104"/>
      <c r="L47" s="112"/>
      <c r="M47" s="162"/>
      <c r="N47" s="169"/>
      <c r="O47" s="111"/>
      <c r="P47" s="177"/>
      <c r="Q47" s="179"/>
    </row>
    <row r="48" spans="1:17" ht="5.25" customHeight="1" thickBot="1" x14ac:dyDescent="0.25">
      <c r="B48" s="96"/>
      <c r="C48" s="97"/>
      <c r="D48" s="97"/>
      <c r="E48" s="97"/>
      <c r="F48" s="97"/>
      <c r="G48" s="97"/>
      <c r="H48" s="97"/>
      <c r="I48" s="97"/>
      <c r="J48" s="97"/>
      <c r="K48" s="97"/>
      <c r="L48" s="97"/>
      <c r="M48" s="97"/>
      <c r="N48" s="97"/>
      <c r="O48" s="98"/>
      <c r="P48" s="177"/>
    </row>
    <row r="49" spans="2:16" ht="29.25" customHeight="1" thickBot="1" x14ac:dyDescent="0.25">
      <c r="B49" s="119" t="s">
        <v>192</v>
      </c>
      <c r="C49" s="80" t="s">
        <v>193</v>
      </c>
      <c r="D49" s="89" t="s">
        <v>194</v>
      </c>
      <c r="E49" s="89" t="s">
        <v>235</v>
      </c>
      <c r="F49" s="90">
        <v>1</v>
      </c>
      <c r="G49" s="91"/>
      <c r="H49" s="74" t="s">
        <v>262</v>
      </c>
      <c r="I49" s="13" t="s">
        <v>48</v>
      </c>
      <c r="J49" s="26"/>
      <c r="K49" s="111" t="str">
        <f>IF((J51="NA"),"NA",((J51/F49)*10))</f>
        <v>NA</v>
      </c>
      <c r="L49" s="86">
        <f>IF(AND(H49="No",H52="No",H55="No",H58="No",H61="No",H64="No",H67="No",H70="No",H73="No",H76="No",H79="No",H82="No"),0,AVERAGE(K49:K84))</f>
        <v>10</v>
      </c>
      <c r="M49" s="160" t="s">
        <v>223</v>
      </c>
      <c r="N49" s="158">
        <v>0.1</v>
      </c>
      <c r="O49" s="86">
        <f>L49*N49</f>
        <v>1</v>
      </c>
      <c r="P49" s="177"/>
    </row>
    <row r="50" spans="2:16" ht="32.25" customHeight="1" thickBot="1" x14ac:dyDescent="0.25">
      <c r="B50" s="119"/>
      <c r="C50" s="92"/>
      <c r="D50" s="94"/>
      <c r="E50" s="128"/>
      <c r="F50" s="91"/>
      <c r="G50" s="91"/>
      <c r="H50" s="79"/>
      <c r="I50" s="15" t="s">
        <v>47</v>
      </c>
      <c r="J50" s="27"/>
      <c r="K50" s="111"/>
      <c r="L50" s="72"/>
      <c r="M50" s="161"/>
      <c r="N50" s="158"/>
      <c r="O50" s="86"/>
      <c r="P50" s="177"/>
    </row>
    <row r="51" spans="2:16" ht="30" customHeight="1" thickBot="1" x14ac:dyDescent="0.25">
      <c r="B51" s="119"/>
      <c r="C51" s="92"/>
      <c r="D51" s="95"/>
      <c r="E51" s="88"/>
      <c r="F51" s="91"/>
      <c r="G51" s="91"/>
      <c r="H51" s="75"/>
      <c r="I51" s="16" t="s">
        <v>49</v>
      </c>
      <c r="J51" s="6" t="str">
        <f>IF(AND(H49="Si"),(J49/J50),"NA")</f>
        <v>NA</v>
      </c>
      <c r="K51" s="111"/>
      <c r="L51" s="72"/>
      <c r="M51" s="161"/>
      <c r="N51" s="158"/>
      <c r="O51" s="86"/>
      <c r="P51" s="177"/>
    </row>
    <row r="52" spans="2:16" ht="33.75" customHeight="1" thickBot="1" x14ac:dyDescent="0.25">
      <c r="B52" s="119"/>
      <c r="C52" s="92"/>
      <c r="D52" s="80" t="s">
        <v>195</v>
      </c>
      <c r="E52" s="80" t="s">
        <v>236</v>
      </c>
      <c r="F52" s="101">
        <v>0</v>
      </c>
      <c r="G52" s="82"/>
      <c r="H52" s="74" t="s">
        <v>262</v>
      </c>
      <c r="I52" s="13" t="s">
        <v>48</v>
      </c>
      <c r="J52" s="26"/>
      <c r="K52" s="104" t="str">
        <f>IF((J54="NA"),"NA",((1-J54)*10))</f>
        <v>NA</v>
      </c>
      <c r="L52" s="72"/>
      <c r="M52" s="161"/>
      <c r="N52" s="158"/>
      <c r="O52" s="86"/>
      <c r="P52" s="177"/>
    </row>
    <row r="53" spans="2:16" ht="30" customHeight="1" thickBot="1" x14ac:dyDescent="0.25">
      <c r="B53" s="119"/>
      <c r="C53" s="92"/>
      <c r="D53" s="92"/>
      <c r="E53" s="92"/>
      <c r="F53" s="83"/>
      <c r="G53" s="84"/>
      <c r="H53" s="79"/>
      <c r="I53" s="15" t="s">
        <v>47</v>
      </c>
      <c r="J53" s="27"/>
      <c r="K53" s="104"/>
      <c r="L53" s="72"/>
      <c r="M53" s="161"/>
      <c r="N53" s="158"/>
      <c r="O53" s="86"/>
      <c r="P53" s="177"/>
    </row>
    <row r="54" spans="2:16" ht="30" customHeight="1" thickBot="1" x14ac:dyDescent="0.25">
      <c r="B54" s="119"/>
      <c r="C54" s="92"/>
      <c r="D54" s="93"/>
      <c r="E54" s="93"/>
      <c r="F54" s="102"/>
      <c r="G54" s="103"/>
      <c r="H54" s="75"/>
      <c r="I54" s="16" t="s">
        <v>33</v>
      </c>
      <c r="J54" s="6" t="str">
        <f>IF(AND(H52="Si"),((J52/J53)),"NA")</f>
        <v>NA</v>
      </c>
      <c r="K54" s="104"/>
      <c r="L54" s="72"/>
      <c r="M54" s="161"/>
      <c r="N54" s="158"/>
      <c r="O54" s="86"/>
      <c r="P54" s="177"/>
    </row>
    <row r="55" spans="2:16" ht="34.5" customHeight="1" thickBot="1" x14ac:dyDescent="0.25">
      <c r="B55" s="119"/>
      <c r="C55" s="92"/>
      <c r="D55" s="89" t="s">
        <v>196</v>
      </c>
      <c r="E55" s="89" t="s">
        <v>237</v>
      </c>
      <c r="F55" s="175">
        <v>1</v>
      </c>
      <c r="G55" s="140"/>
      <c r="H55" s="74" t="s">
        <v>262</v>
      </c>
      <c r="I55" s="13" t="s">
        <v>48</v>
      </c>
      <c r="J55" s="26"/>
      <c r="K55" s="111" t="str">
        <f>IF((J57="NA"),"NA",((J57/F55)*10))</f>
        <v>NA</v>
      </c>
      <c r="L55" s="72"/>
      <c r="M55" s="161"/>
      <c r="N55" s="158"/>
      <c r="O55" s="86"/>
      <c r="P55" s="177"/>
    </row>
    <row r="56" spans="2:16" ht="35.25" customHeight="1" thickBot="1" x14ac:dyDescent="0.25">
      <c r="B56" s="119"/>
      <c r="C56" s="92"/>
      <c r="D56" s="94"/>
      <c r="E56" s="128"/>
      <c r="F56" s="141"/>
      <c r="G56" s="142"/>
      <c r="H56" s="79"/>
      <c r="I56" s="15" t="s">
        <v>47</v>
      </c>
      <c r="J56" s="27"/>
      <c r="K56" s="111"/>
      <c r="L56" s="72"/>
      <c r="M56" s="161"/>
      <c r="N56" s="158"/>
      <c r="O56" s="86"/>
      <c r="P56" s="177"/>
    </row>
    <row r="57" spans="2:16" ht="33.75" customHeight="1" thickBot="1" x14ac:dyDescent="0.25">
      <c r="B57" s="119"/>
      <c r="C57" s="92"/>
      <c r="D57" s="95"/>
      <c r="E57" s="88"/>
      <c r="F57" s="146"/>
      <c r="G57" s="147"/>
      <c r="H57" s="75"/>
      <c r="I57" s="16" t="s">
        <v>49</v>
      </c>
      <c r="J57" s="6" t="str">
        <f>IF(AND(H55="Si"),(J55/J56),"NA")</f>
        <v>NA</v>
      </c>
      <c r="K57" s="111"/>
      <c r="L57" s="72"/>
      <c r="M57" s="161"/>
      <c r="N57" s="158"/>
      <c r="O57" s="86"/>
      <c r="P57" s="177"/>
    </row>
    <row r="58" spans="2:16" ht="33.75" customHeight="1" thickBot="1" x14ac:dyDescent="0.25">
      <c r="B58" s="119"/>
      <c r="C58" s="92"/>
      <c r="D58" s="80" t="s">
        <v>197</v>
      </c>
      <c r="E58" s="80" t="s">
        <v>198</v>
      </c>
      <c r="F58" s="101">
        <v>1</v>
      </c>
      <c r="G58" s="82"/>
      <c r="H58" s="74" t="s">
        <v>262</v>
      </c>
      <c r="I58" s="13" t="s">
        <v>48</v>
      </c>
      <c r="J58" s="26"/>
      <c r="K58" s="111" t="str">
        <f>IF((J60="NA"),"NA",((J60/F58)*10))</f>
        <v>NA</v>
      </c>
      <c r="L58" s="72"/>
      <c r="M58" s="161"/>
      <c r="N58" s="158"/>
      <c r="O58" s="86"/>
      <c r="P58" s="177"/>
    </row>
    <row r="59" spans="2:16" ht="33.75" customHeight="1" thickBot="1" x14ac:dyDescent="0.25">
      <c r="B59" s="119"/>
      <c r="C59" s="92"/>
      <c r="D59" s="92"/>
      <c r="E59" s="79"/>
      <c r="F59" s="83"/>
      <c r="G59" s="84"/>
      <c r="H59" s="79"/>
      <c r="I59" s="15" t="s">
        <v>47</v>
      </c>
      <c r="J59" s="27"/>
      <c r="K59" s="111"/>
      <c r="L59" s="72"/>
      <c r="M59" s="161"/>
      <c r="N59" s="158"/>
      <c r="O59" s="86"/>
      <c r="P59" s="177"/>
    </row>
    <row r="60" spans="2:16" ht="33.75" customHeight="1" thickBot="1" x14ac:dyDescent="0.25">
      <c r="B60" s="119"/>
      <c r="C60" s="92"/>
      <c r="D60" s="93"/>
      <c r="E60" s="75"/>
      <c r="F60" s="102"/>
      <c r="G60" s="103"/>
      <c r="H60" s="75"/>
      <c r="I60" s="16" t="s">
        <v>49</v>
      </c>
      <c r="J60" s="6" t="str">
        <f>IF(AND(H58="Si"),(J58/J59),"NA")</f>
        <v>NA</v>
      </c>
      <c r="K60" s="111"/>
      <c r="L60" s="72"/>
      <c r="M60" s="161"/>
      <c r="N60" s="158"/>
      <c r="O60" s="86"/>
      <c r="P60" s="177"/>
    </row>
    <row r="61" spans="2:16" ht="34.5" customHeight="1" thickBot="1" x14ac:dyDescent="0.25">
      <c r="B61" s="119"/>
      <c r="C61" s="92"/>
      <c r="D61" s="80" t="s">
        <v>199</v>
      </c>
      <c r="E61" s="80" t="s">
        <v>238</v>
      </c>
      <c r="F61" s="101">
        <v>0</v>
      </c>
      <c r="G61" s="82"/>
      <c r="H61" s="74" t="s">
        <v>262</v>
      </c>
      <c r="I61" s="13" t="s">
        <v>48</v>
      </c>
      <c r="J61" s="26"/>
      <c r="K61" s="104" t="str">
        <f>IF((J63="NA"),"NA",((1-J63)*10))</f>
        <v>NA</v>
      </c>
      <c r="L61" s="72"/>
      <c r="M61" s="161"/>
      <c r="N61" s="158"/>
      <c r="O61" s="86"/>
      <c r="P61" s="177"/>
    </row>
    <row r="62" spans="2:16" ht="34.5" customHeight="1" thickBot="1" x14ac:dyDescent="0.25">
      <c r="B62" s="119"/>
      <c r="C62" s="92"/>
      <c r="D62" s="92"/>
      <c r="E62" s="79"/>
      <c r="F62" s="83"/>
      <c r="G62" s="84"/>
      <c r="H62" s="79"/>
      <c r="I62" s="15" t="s">
        <v>47</v>
      </c>
      <c r="J62" s="27"/>
      <c r="K62" s="104"/>
      <c r="L62" s="72"/>
      <c r="M62" s="161"/>
      <c r="N62" s="158"/>
      <c r="O62" s="86"/>
      <c r="P62" s="177"/>
    </row>
    <row r="63" spans="2:16" ht="34.5" customHeight="1" thickBot="1" x14ac:dyDescent="0.25">
      <c r="B63" s="119"/>
      <c r="C63" s="92"/>
      <c r="D63" s="93"/>
      <c r="E63" s="75"/>
      <c r="F63" s="102"/>
      <c r="G63" s="103"/>
      <c r="H63" s="75"/>
      <c r="I63" s="16" t="s">
        <v>33</v>
      </c>
      <c r="J63" s="6" t="str">
        <f>IF(AND(H61="Si"),((J61/J62)),"NA")</f>
        <v>NA</v>
      </c>
      <c r="K63" s="104"/>
      <c r="L63" s="72"/>
      <c r="M63" s="161"/>
      <c r="N63" s="158"/>
      <c r="O63" s="86"/>
      <c r="P63" s="177"/>
    </row>
    <row r="64" spans="2:16" ht="34.5" customHeight="1" thickBot="1" x14ac:dyDescent="0.25">
      <c r="B64" s="119"/>
      <c r="C64" s="92"/>
      <c r="D64" s="89" t="s">
        <v>200</v>
      </c>
      <c r="E64" s="89" t="s">
        <v>201</v>
      </c>
      <c r="F64" s="175">
        <v>1</v>
      </c>
      <c r="G64" s="140"/>
      <c r="H64" s="74" t="s">
        <v>262</v>
      </c>
      <c r="I64" s="13" t="s">
        <v>48</v>
      </c>
      <c r="J64" s="26"/>
      <c r="K64" s="111" t="str">
        <f>IF((J66="NA"),"NA",((J66/F64)*10))</f>
        <v>NA</v>
      </c>
      <c r="L64" s="72"/>
      <c r="M64" s="161"/>
      <c r="N64" s="158"/>
      <c r="O64" s="86"/>
      <c r="P64" s="177"/>
    </row>
    <row r="65" spans="2:16" ht="34.5" customHeight="1" thickBot="1" x14ac:dyDescent="0.25">
      <c r="B65" s="119"/>
      <c r="C65" s="92"/>
      <c r="D65" s="94"/>
      <c r="E65" s="94"/>
      <c r="F65" s="141"/>
      <c r="G65" s="142"/>
      <c r="H65" s="79"/>
      <c r="I65" s="15" t="s">
        <v>47</v>
      </c>
      <c r="J65" s="27"/>
      <c r="K65" s="111"/>
      <c r="L65" s="72"/>
      <c r="M65" s="161"/>
      <c r="N65" s="158"/>
      <c r="O65" s="86"/>
      <c r="P65" s="177"/>
    </row>
    <row r="66" spans="2:16" ht="34.5" customHeight="1" thickBot="1" x14ac:dyDescent="0.25">
      <c r="B66" s="119"/>
      <c r="C66" s="92"/>
      <c r="D66" s="95"/>
      <c r="E66" s="95"/>
      <c r="F66" s="146"/>
      <c r="G66" s="147"/>
      <c r="H66" s="75"/>
      <c r="I66" s="16" t="s">
        <v>49</v>
      </c>
      <c r="J66" s="6" t="str">
        <f>IF(AND(H64="Si"),(J64/J65),"NA")</f>
        <v>NA</v>
      </c>
      <c r="K66" s="111"/>
      <c r="L66" s="72"/>
      <c r="M66" s="161"/>
      <c r="N66" s="158"/>
      <c r="O66" s="86"/>
      <c r="P66" s="177"/>
    </row>
    <row r="67" spans="2:16" ht="34.5" customHeight="1" thickBot="1" x14ac:dyDescent="0.25">
      <c r="B67" s="119"/>
      <c r="C67" s="92"/>
      <c r="D67" s="89" t="s">
        <v>202</v>
      </c>
      <c r="E67" s="89" t="s">
        <v>203</v>
      </c>
      <c r="F67" s="175">
        <v>0</v>
      </c>
      <c r="G67" s="140"/>
      <c r="H67" s="74" t="s">
        <v>262</v>
      </c>
      <c r="I67" s="13" t="s">
        <v>48</v>
      </c>
      <c r="J67" s="26"/>
      <c r="K67" s="104" t="str">
        <f>IF((J69="NA"),"NA",((1-J69)*10))</f>
        <v>NA</v>
      </c>
      <c r="L67" s="72"/>
      <c r="M67" s="161"/>
      <c r="N67" s="158"/>
      <c r="O67" s="86"/>
      <c r="P67" s="177"/>
    </row>
    <row r="68" spans="2:16" ht="34.5" customHeight="1" thickBot="1" x14ac:dyDescent="0.25">
      <c r="B68" s="119"/>
      <c r="C68" s="92"/>
      <c r="D68" s="94"/>
      <c r="E68" s="128"/>
      <c r="F68" s="141"/>
      <c r="G68" s="142"/>
      <c r="H68" s="79"/>
      <c r="I68" s="15" t="s">
        <v>47</v>
      </c>
      <c r="J68" s="27"/>
      <c r="K68" s="104"/>
      <c r="L68" s="72"/>
      <c r="M68" s="161"/>
      <c r="N68" s="158"/>
      <c r="O68" s="86"/>
      <c r="P68" s="177"/>
    </row>
    <row r="69" spans="2:16" ht="34.5" customHeight="1" thickBot="1" x14ac:dyDescent="0.25">
      <c r="B69" s="119"/>
      <c r="C69" s="92"/>
      <c r="D69" s="95"/>
      <c r="E69" s="88"/>
      <c r="F69" s="146"/>
      <c r="G69" s="147"/>
      <c r="H69" s="75"/>
      <c r="I69" s="16" t="s">
        <v>33</v>
      </c>
      <c r="J69" s="6" t="str">
        <f>IF(AND(H67="Si"),((J67/J68)),"NA")</f>
        <v>NA</v>
      </c>
      <c r="K69" s="104"/>
      <c r="L69" s="72"/>
      <c r="M69" s="161"/>
      <c r="N69" s="158"/>
      <c r="O69" s="86"/>
      <c r="P69" s="177"/>
    </row>
    <row r="70" spans="2:16" ht="34.5" customHeight="1" thickBot="1" x14ac:dyDescent="0.25">
      <c r="B70" s="119"/>
      <c r="C70" s="92"/>
      <c r="D70" s="89" t="s">
        <v>204</v>
      </c>
      <c r="E70" s="89" t="s">
        <v>205</v>
      </c>
      <c r="F70" s="175">
        <v>0</v>
      </c>
      <c r="G70" s="140"/>
      <c r="H70" s="74" t="s">
        <v>262</v>
      </c>
      <c r="I70" s="13" t="s">
        <v>48</v>
      </c>
      <c r="J70" s="26"/>
      <c r="K70" s="104" t="str">
        <f>IF((J72="NA"),"NA",((1-J72)*10))</f>
        <v>NA</v>
      </c>
      <c r="L70" s="72"/>
      <c r="M70" s="161"/>
      <c r="N70" s="158"/>
      <c r="O70" s="86"/>
      <c r="P70" s="177"/>
    </row>
    <row r="71" spans="2:16" ht="34.5" customHeight="1" thickBot="1" x14ac:dyDescent="0.25">
      <c r="B71" s="119"/>
      <c r="C71" s="92"/>
      <c r="D71" s="94"/>
      <c r="E71" s="128"/>
      <c r="F71" s="141"/>
      <c r="G71" s="142"/>
      <c r="H71" s="79"/>
      <c r="I71" s="15" t="s">
        <v>47</v>
      </c>
      <c r="J71" s="27"/>
      <c r="K71" s="104"/>
      <c r="L71" s="72"/>
      <c r="M71" s="161"/>
      <c r="N71" s="158"/>
      <c r="O71" s="86"/>
      <c r="P71" s="177"/>
    </row>
    <row r="72" spans="2:16" ht="34.5" customHeight="1" thickBot="1" x14ac:dyDescent="0.25">
      <c r="B72" s="119"/>
      <c r="C72" s="92"/>
      <c r="D72" s="95"/>
      <c r="E72" s="88"/>
      <c r="F72" s="146"/>
      <c r="G72" s="147"/>
      <c r="H72" s="75"/>
      <c r="I72" s="16" t="s">
        <v>33</v>
      </c>
      <c r="J72" s="6" t="str">
        <f>IF(AND(H70="Si"),((J70/J71)),"NA")</f>
        <v>NA</v>
      </c>
      <c r="K72" s="104"/>
      <c r="L72" s="72"/>
      <c r="M72" s="161"/>
      <c r="N72" s="158"/>
      <c r="O72" s="86"/>
      <c r="P72" s="177"/>
    </row>
    <row r="73" spans="2:16" ht="34.5" customHeight="1" thickBot="1" x14ac:dyDescent="0.25">
      <c r="B73" s="119"/>
      <c r="C73" s="80" t="s">
        <v>207</v>
      </c>
      <c r="D73" s="80" t="s">
        <v>206</v>
      </c>
      <c r="E73" s="80" t="s">
        <v>208</v>
      </c>
      <c r="F73" s="101">
        <v>0</v>
      </c>
      <c r="G73" s="82"/>
      <c r="H73" s="74" t="s">
        <v>261</v>
      </c>
      <c r="I73" s="13" t="s">
        <v>48</v>
      </c>
      <c r="J73" s="26">
        <v>0</v>
      </c>
      <c r="K73" s="104">
        <f>IF((J75="NA"),"NA",((1-J75)*10))</f>
        <v>10</v>
      </c>
      <c r="L73" s="72"/>
      <c r="M73" s="161"/>
      <c r="N73" s="158"/>
      <c r="O73" s="86"/>
      <c r="P73" s="177"/>
    </row>
    <row r="74" spans="2:16" ht="34.5" customHeight="1" thickBot="1" x14ac:dyDescent="0.25">
      <c r="B74" s="119"/>
      <c r="C74" s="92"/>
      <c r="D74" s="92"/>
      <c r="E74" s="79"/>
      <c r="F74" s="83"/>
      <c r="G74" s="84"/>
      <c r="H74" s="79"/>
      <c r="I74" s="15" t="s">
        <v>47</v>
      </c>
      <c r="J74" s="27">
        <v>2</v>
      </c>
      <c r="K74" s="104"/>
      <c r="L74" s="72"/>
      <c r="M74" s="161"/>
      <c r="N74" s="158"/>
      <c r="O74" s="86"/>
      <c r="P74" s="177"/>
    </row>
    <row r="75" spans="2:16" ht="34.5" customHeight="1" thickBot="1" x14ac:dyDescent="0.25">
      <c r="B75" s="119"/>
      <c r="C75" s="92"/>
      <c r="D75" s="93"/>
      <c r="E75" s="75"/>
      <c r="F75" s="102"/>
      <c r="G75" s="103"/>
      <c r="H75" s="75"/>
      <c r="I75" s="16" t="s">
        <v>33</v>
      </c>
      <c r="J75" s="6">
        <f>IF(AND(H73="Si"),((J73/J74)),"NA")</f>
        <v>0</v>
      </c>
      <c r="K75" s="104"/>
      <c r="L75" s="72"/>
      <c r="M75" s="161"/>
      <c r="N75" s="158"/>
      <c r="O75" s="86"/>
      <c r="P75" s="177"/>
    </row>
    <row r="76" spans="2:16" ht="34.5" customHeight="1" thickBot="1" x14ac:dyDescent="0.25">
      <c r="B76" s="119"/>
      <c r="C76" s="92"/>
      <c r="D76" s="89" t="s">
        <v>209</v>
      </c>
      <c r="E76" s="89" t="s">
        <v>239</v>
      </c>
      <c r="F76" s="139" t="s">
        <v>283</v>
      </c>
      <c r="G76" s="140"/>
      <c r="H76" s="74" t="s">
        <v>261</v>
      </c>
      <c r="I76" s="13" t="s">
        <v>48</v>
      </c>
      <c r="J76" s="26">
        <v>0</v>
      </c>
      <c r="K76" s="111">
        <f>IF((J78="NA"),"NA",IF(J76&gt;5,0,((1-(J76/5))*10)))</f>
        <v>10</v>
      </c>
      <c r="L76" s="72"/>
      <c r="M76" s="161"/>
      <c r="N76" s="158"/>
      <c r="O76" s="86"/>
      <c r="P76" s="177"/>
    </row>
    <row r="77" spans="2:16" ht="34.5" customHeight="1" thickBot="1" x14ac:dyDescent="0.25">
      <c r="B77" s="119"/>
      <c r="C77" s="92"/>
      <c r="D77" s="94"/>
      <c r="E77" s="94"/>
      <c r="F77" s="141"/>
      <c r="G77" s="142"/>
      <c r="H77" s="79"/>
      <c r="I77" s="15" t="s">
        <v>51</v>
      </c>
      <c r="J77" s="46">
        <f>IF(H76="Si",12,"")</f>
        <v>12</v>
      </c>
      <c r="K77" s="111"/>
      <c r="L77" s="72"/>
      <c r="M77" s="161"/>
      <c r="N77" s="158"/>
      <c r="O77" s="86"/>
      <c r="P77" s="177"/>
    </row>
    <row r="78" spans="2:16" ht="34.5" customHeight="1" thickBot="1" x14ac:dyDescent="0.25">
      <c r="B78" s="119"/>
      <c r="C78" s="92"/>
      <c r="D78" s="95"/>
      <c r="E78" s="88"/>
      <c r="F78" s="146"/>
      <c r="G78" s="147"/>
      <c r="H78" s="75"/>
      <c r="I78" s="16" t="s">
        <v>49</v>
      </c>
      <c r="J78" s="7" t="str">
        <f>IF(AND(H76="Si"),(J76&amp;"/"&amp;J77&amp;" meses"),"NA")</f>
        <v>0/12 meses</v>
      </c>
      <c r="K78" s="111"/>
      <c r="L78" s="72"/>
      <c r="M78" s="161"/>
      <c r="N78" s="158"/>
      <c r="O78" s="86"/>
      <c r="P78" s="177"/>
    </row>
    <row r="79" spans="2:16" ht="34.5" customHeight="1" thickBot="1" x14ac:dyDescent="0.25">
      <c r="B79" s="119"/>
      <c r="C79" s="92"/>
      <c r="D79" s="89" t="s">
        <v>210</v>
      </c>
      <c r="E79" s="89" t="s">
        <v>211</v>
      </c>
      <c r="F79" s="175">
        <v>0</v>
      </c>
      <c r="G79" s="140"/>
      <c r="H79" s="74" t="s">
        <v>262</v>
      </c>
      <c r="I79" s="13" t="s">
        <v>48</v>
      </c>
      <c r="J79" s="26"/>
      <c r="K79" s="104" t="str">
        <f>IF((J81="NA"),"NA",((1-J81)*10))</f>
        <v>NA</v>
      </c>
      <c r="L79" s="72"/>
      <c r="M79" s="161"/>
      <c r="N79" s="158"/>
      <c r="O79" s="86"/>
      <c r="P79" s="177"/>
    </row>
    <row r="80" spans="2:16" ht="34.5" customHeight="1" thickBot="1" x14ac:dyDescent="0.25">
      <c r="B80" s="119"/>
      <c r="C80" s="92"/>
      <c r="D80" s="94"/>
      <c r="E80" s="128"/>
      <c r="F80" s="141"/>
      <c r="G80" s="142"/>
      <c r="H80" s="79"/>
      <c r="I80" s="15" t="s">
        <v>47</v>
      </c>
      <c r="J80" s="27"/>
      <c r="K80" s="104"/>
      <c r="L80" s="72"/>
      <c r="M80" s="161"/>
      <c r="N80" s="158"/>
      <c r="O80" s="86"/>
      <c r="P80" s="177"/>
    </row>
    <row r="81" spans="2:16" ht="34.5" customHeight="1" thickBot="1" x14ac:dyDescent="0.25">
      <c r="B81" s="119"/>
      <c r="C81" s="93"/>
      <c r="D81" s="95"/>
      <c r="E81" s="88"/>
      <c r="F81" s="146"/>
      <c r="G81" s="147"/>
      <c r="H81" s="75"/>
      <c r="I81" s="16" t="s">
        <v>33</v>
      </c>
      <c r="J81" s="6" t="str">
        <f>IF(AND(H79="Si"),((J79/J80)),"NA")</f>
        <v>NA</v>
      </c>
      <c r="K81" s="104"/>
      <c r="L81" s="72"/>
      <c r="M81" s="161"/>
      <c r="N81" s="158"/>
      <c r="O81" s="86"/>
      <c r="P81" s="177"/>
    </row>
    <row r="82" spans="2:16" ht="34.5" customHeight="1" thickBot="1" x14ac:dyDescent="0.25">
      <c r="B82" s="119"/>
      <c r="C82" s="89" t="s">
        <v>212</v>
      </c>
      <c r="D82" s="89" t="s">
        <v>213</v>
      </c>
      <c r="E82" s="89" t="s">
        <v>240</v>
      </c>
      <c r="F82" s="175">
        <v>0</v>
      </c>
      <c r="G82" s="140"/>
      <c r="H82" s="74" t="s">
        <v>262</v>
      </c>
      <c r="I82" s="13" t="s">
        <v>48</v>
      </c>
      <c r="J82" s="26"/>
      <c r="K82" s="104" t="str">
        <f>IF((J84="NA"),"NA",((1-J84)*10))</f>
        <v>NA</v>
      </c>
      <c r="L82" s="72"/>
      <c r="M82" s="161"/>
      <c r="N82" s="158"/>
      <c r="O82" s="86"/>
      <c r="P82" s="177"/>
    </row>
    <row r="83" spans="2:16" ht="34.5" customHeight="1" thickBot="1" x14ac:dyDescent="0.25">
      <c r="B83" s="119"/>
      <c r="C83" s="94"/>
      <c r="D83" s="94"/>
      <c r="E83" s="128"/>
      <c r="F83" s="141"/>
      <c r="G83" s="142"/>
      <c r="H83" s="79"/>
      <c r="I83" s="15" t="s">
        <v>47</v>
      </c>
      <c r="J83" s="27"/>
      <c r="K83" s="104"/>
      <c r="L83" s="72"/>
      <c r="M83" s="161"/>
      <c r="N83" s="158"/>
      <c r="O83" s="86"/>
      <c r="P83" s="177"/>
    </row>
    <row r="84" spans="2:16" ht="34.5" customHeight="1" thickBot="1" x14ac:dyDescent="0.25">
      <c r="B84" s="120"/>
      <c r="C84" s="95"/>
      <c r="D84" s="95"/>
      <c r="E84" s="88"/>
      <c r="F84" s="146"/>
      <c r="G84" s="147"/>
      <c r="H84" s="75"/>
      <c r="I84" s="16" t="s">
        <v>33</v>
      </c>
      <c r="J84" s="6" t="str">
        <f>IF(AND(H82="Si"),((J82/J83)),"NA")</f>
        <v>NA</v>
      </c>
      <c r="K84" s="104"/>
      <c r="L84" s="73"/>
      <c r="M84" s="162"/>
      <c r="N84" s="159"/>
      <c r="O84" s="100"/>
      <c r="P84" s="177"/>
    </row>
    <row r="85" spans="2:16" ht="5.25" customHeight="1" thickBot="1" x14ac:dyDescent="0.25">
      <c r="B85" s="96"/>
      <c r="C85" s="97"/>
      <c r="D85" s="97"/>
      <c r="E85" s="97"/>
      <c r="F85" s="97"/>
      <c r="G85" s="97"/>
      <c r="H85" s="97"/>
      <c r="I85" s="97"/>
      <c r="J85" s="97"/>
      <c r="K85" s="97"/>
      <c r="L85" s="97"/>
      <c r="M85" s="97"/>
      <c r="N85" s="97"/>
      <c r="O85" s="98"/>
      <c r="P85" s="177"/>
    </row>
    <row r="86" spans="2:16" ht="33" customHeight="1" thickBot="1" x14ac:dyDescent="0.25">
      <c r="B86" s="117" t="s">
        <v>214</v>
      </c>
      <c r="C86" s="80" t="s">
        <v>215</v>
      </c>
      <c r="D86" s="80" t="s">
        <v>215</v>
      </c>
      <c r="E86" s="80" t="s">
        <v>241</v>
      </c>
      <c r="F86" s="101">
        <v>0</v>
      </c>
      <c r="G86" s="82"/>
      <c r="H86" s="74" t="s">
        <v>262</v>
      </c>
      <c r="I86" s="13" t="s">
        <v>48</v>
      </c>
      <c r="J86" s="26"/>
      <c r="K86" s="104" t="str">
        <f>IF((J88="NA"),"NA",((1-J88)*10))</f>
        <v>NA</v>
      </c>
      <c r="L86" s="160">
        <f>IF(AND(H86="No",H89="No"),0,AVERAGE(K86:K91))</f>
        <v>0</v>
      </c>
      <c r="M86" s="74" t="s">
        <v>224</v>
      </c>
      <c r="N86" s="157">
        <v>0</v>
      </c>
      <c r="O86" s="74">
        <f>L86*N86</f>
        <v>0</v>
      </c>
      <c r="P86" s="177"/>
    </row>
    <row r="87" spans="2:16" ht="33" customHeight="1" thickBot="1" x14ac:dyDescent="0.25">
      <c r="B87" s="117"/>
      <c r="C87" s="92"/>
      <c r="D87" s="92"/>
      <c r="E87" s="79"/>
      <c r="F87" s="83"/>
      <c r="G87" s="84"/>
      <c r="H87" s="79"/>
      <c r="I87" s="15" t="s">
        <v>47</v>
      </c>
      <c r="J87" s="27"/>
      <c r="K87" s="104"/>
      <c r="L87" s="79"/>
      <c r="M87" s="79"/>
      <c r="N87" s="158"/>
      <c r="O87" s="79"/>
      <c r="P87" s="177"/>
    </row>
    <row r="88" spans="2:16" ht="33" customHeight="1" thickBot="1" x14ac:dyDescent="0.25">
      <c r="B88" s="117"/>
      <c r="C88" s="93"/>
      <c r="D88" s="93"/>
      <c r="E88" s="75"/>
      <c r="F88" s="102"/>
      <c r="G88" s="103"/>
      <c r="H88" s="75"/>
      <c r="I88" s="16" t="s">
        <v>33</v>
      </c>
      <c r="J88" s="6" t="str">
        <f>IF(AND(H86="Si"),((J86/J87)),"NA")</f>
        <v>NA</v>
      </c>
      <c r="K88" s="104"/>
      <c r="L88" s="79"/>
      <c r="M88" s="79"/>
      <c r="N88" s="158"/>
      <c r="O88" s="79"/>
      <c r="P88" s="177"/>
    </row>
    <row r="89" spans="2:16" ht="33" customHeight="1" thickBot="1" x14ac:dyDescent="0.25">
      <c r="B89" s="117"/>
      <c r="C89" s="80" t="s">
        <v>217</v>
      </c>
      <c r="D89" s="80" t="s">
        <v>216</v>
      </c>
      <c r="E89" s="80" t="s">
        <v>218</v>
      </c>
      <c r="F89" s="101">
        <v>1</v>
      </c>
      <c r="G89" s="82"/>
      <c r="H89" s="74" t="s">
        <v>262</v>
      </c>
      <c r="I89" s="13" t="s">
        <v>48</v>
      </c>
      <c r="J89" s="26"/>
      <c r="K89" s="111" t="str">
        <f>IF((J91="NA"),"NA",((J91/F89)*10))</f>
        <v>NA</v>
      </c>
      <c r="L89" s="79"/>
      <c r="M89" s="79"/>
      <c r="N89" s="158"/>
      <c r="O89" s="79"/>
      <c r="P89" s="177"/>
    </row>
    <row r="90" spans="2:16" ht="30.75" customHeight="1" thickBot="1" x14ac:dyDescent="0.25">
      <c r="B90" s="117"/>
      <c r="C90" s="92"/>
      <c r="D90" s="92"/>
      <c r="E90" s="79"/>
      <c r="F90" s="83"/>
      <c r="G90" s="84"/>
      <c r="H90" s="79"/>
      <c r="I90" s="15" t="s">
        <v>47</v>
      </c>
      <c r="J90" s="27"/>
      <c r="K90" s="111"/>
      <c r="L90" s="79"/>
      <c r="M90" s="79"/>
      <c r="N90" s="158"/>
      <c r="O90" s="79"/>
      <c r="P90" s="177"/>
    </row>
    <row r="91" spans="2:16" ht="27" customHeight="1" thickBot="1" x14ac:dyDescent="0.25">
      <c r="B91" s="117"/>
      <c r="C91" s="93"/>
      <c r="D91" s="93"/>
      <c r="E91" s="75"/>
      <c r="F91" s="102"/>
      <c r="G91" s="103"/>
      <c r="H91" s="75"/>
      <c r="I91" s="16" t="s">
        <v>49</v>
      </c>
      <c r="J91" s="6" t="str">
        <f>IF(AND(H89="Si"),(J89/J90),"NA")</f>
        <v>NA</v>
      </c>
      <c r="K91" s="111"/>
      <c r="L91" s="75"/>
      <c r="M91" s="75"/>
      <c r="N91" s="159"/>
      <c r="O91" s="75"/>
      <c r="P91" s="178"/>
    </row>
    <row r="92" spans="2:16" x14ac:dyDescent="0.2">
      <c r="N92" s="70">
        <f>SUM(N1:N91)</f>
        <v>1</v>
      </c>
    </row>
  </sheetData>
  <mergeCells count="177">
    <mergeCell ref="N49:N84"/>
    <mergeCell ref="O49:O84"/>
    <mergeCell ref="K67:K69"/>
    <mergeCell ref="K70:K72"/>
    <mergeCell ref="P7:P91"/>
    <mergeCell ref="Q45:Q47"/>
    <mergeCell ref="B2:P3"/>
    <mergeCell ref="D61:D63"/>
    <mergeCell ref="E61:E63"/>
    <mergeCell ref="F61:G63"/>
    <mergeCell ref="K61:K63"/>
    <mergeCell ref="D58:D60"/>
    <mergeCell ref="E58:E60"/>
    <mergeCell ref="F58:G60"/>
    <mergeCell ref="K58:K60"/>
    <mergeCell ref="F55:G57"/>
    <mergeCell ref="K55:K57"/>
    <mergeCell ref="D49:D51"/>
    <mergeCell ref="E49:E51"/>
    <mergeCell ref="F49:G51"/>
    <mergeCell ref="K49:K51"/>
    <mergeCell ref="D52:D54"/>
    <mergeCell ref="E52:E54"/>
    <mergeCell ref="B48:O48"/>
    <mergeCell ref="B49:B84"/>
    <mergeCell ref="L49:L84"/>
    <mergeCell ref="H70:H72"/>
    <mergeCell ref="H73:H75"/>
    <mergeCell ref="H76:H78"/>
    <mergeCell ref="K52:K54"/>
    <mergeCell ref="N86:N91"/>
    <mergeCell ref="O86:O91"/>
    <mergeCell ref="B86:B91"/>
    <mergeCell ref="D89:D91"/>
    <mergeCell ref="E89:E91"/>
    <mergeCell ref="F89:G91"/>
    <mergeCell ref="K89:K91"/>
    <mergeCell ref="L86:L91"/>
    <mergeCell ref="D86:D88"/>
    <mergeCell ref="E86:E88"/>
    <mergeCell ref="F86:G88"/>
    <mergeCell ref="C86:C88"/>
    <mergeCell ref="K86:K88"/>
    <mergeCell ref="C89:C91"/>
    <mergeCell ref="B85:O85"/>
    <mergeCell ref="E64:E66"/>
    <mergeCell ref="F64:G66"/>
    <mergeCell ref="K64:K66"/>
    <mergeCell ref="D64:D66"/>
    <mergeCell ref="D79:D81"/>
    <mergeCell ref="D67:D69"/>
    <mergeCell ref="E67:E69"/>
    <mergeCell ref="D70:D72"/>
    <mergeCell ref="E70:E72"/>
    <mergeCell ref="F70:G72"/>
    <mergeCell ref="F52:G54"/>
    <mergeCell ref="D73:D75"/>
    <mergeCell ref="E73:E75"/>
    <mergeCell ref="F73:G75"/>
    <mergeCell ref="B39:B47"/>
    <mergeCell ref="D39:D41"/>
    <mergeCell ref="E39:E41"/>
    <mergeCell ref="F39:G41"/>
    <mergeCell ref="K39:K41"/>
    <mergeCell ref="L39:L47"/>
    <mergeCell ref="N39:N47"/>
    <mergeCell ref="O39:O47"/>
    <mergeCell ref="D45:D47"/>
    <mergeCell ref="E45:E47"/>
    <mergeCell ref="F45:G47"/>
    <mergeCell ref="K45:K47"/>
    <mergeCell ref="C39:C47"/>
    <mergeCell ref="D42:D44"/>
    <mergeCell ref="E42:E44"/>
    <mergeCell ref="M39:M47"/>
    <mergeCell ref="C49:C72"/>
    <mergeCell ref="C73:C81"/>
    <mergeCell ref="N7:N15"/>
    <mergeCell ref="O7:O15"/>
    <mergeCell ref="D10:D12"/>
    <mergeCell ref="E10:E12"/>
    <mergeCell ref="F10:G12"/>
    <mergeCell ref="K10:K12"/>
    <mergeCell ref="K13:K15"/>
    <mergeCell ref="B16:O16"/>
    <mergeCell ref="B17:B37"/>
    <mergeCell ref="D17:D19"/>
    <mergeCell ref="E17:E19"/>
    <mergeCell ref="F17:G19"/>
    <mergeCell ref="K17:K19"/>
    <mergeCell ref="L17:L37"/>
    <mergeCell ref="N17:N37"/>
    <mergeCell ref="O17:O37"/>
    <mergeCell ref="D20:D22"/>
    <mergeCell ref="E20:E22"/>
    <mergeCell ref="F20:G22"/>
    <mergeCell ref="D35:D37"/>
    <mergeCell ref="D76:D78"/>
    <mergeCell ref="E76:E78"/>
    <mergeCell ref="D29:D31"/>
    <mergeCell ref="M7:M15"/>
    <mergeCell ref="M17:M37"/>
    <mergeCell ref="H13:H15"/>
    <mergeCell ref="H17:H19"/>
    <mergeCell ref="H20:H22"/>
    <mergeCell ref="H23:H25"/>
    <mergeCell ref="H26:H28"/>
    <mergeCell ref="H29:H31"/>
    <mergeCell ref="H32:H34"/>
    <mergeCell ref="H35:H37"/>
    <mergeCell ref="K20:K22"/>
    <mergeCell ref="K7:K9"/>
    <mergeCell ref="L7:L15"/>
    <mergeCell ref="K29:K31"/>
    <mergeCell ref="K32:K34"/>
    <mergeCell ref="K23:K25"/>
    <mergeCell ref="D26:D28"/>
    <mergeCell ref="E26:E28"/>
    <mergeCell ref="D32:D34"/>
    <mergeCell ref="M49:M84"/>
    <mergeCell ref="M86:M91"/>
    <mergeCell ref="F26:G28"/>
    <mergeCell ref="K26:K28"/>
    <mergeCell ref="F42:G44"/>
    <mergeCell ref="K42:K44"/>
    <mergeCell ref="E29:E31"/>
    <mergeCell ref="F29:G31"/>
    <mergeCell ref="E32:E34"/>
    <mergeCell ref="F32:G34"/>
    <mergeCell ref="H39:H41"/>
    <mergeCell ref="H42:H44"/>
    <mergeCell ref="K82:K84"/>
    <mergeCell ref="K73:K75"/>
    <mergeCell ref="E35:E37"/>
    <mergeCell ref="F35:G37"/>
    <mergeCell ref="K35:K37"/>
    <mergeCell ref="E79:E81"/>
    <mergeCell ref="F79:G81"/>
    <mergeCell ref="F76:G78"/>
    <mergeCell ref="F67:G69"/>
    <mergeCell ref="K76:K78"/>
    <mergeCell ref="K79:K81"/>
    <mergeCell ref="B38:O38"/>
    <mergeCell ref="F6:G6"/>
    <mergeCell ref="I6:J6"/>
    <mergeCell ref="B7:B15"/>
    <mergeCell ref="D7:D9"/>
    <mergeCell ref="E7:E9"/>
    <mergeCell ref="F7:G9"/>
    <mergeCell ref="D13:D15"/>
    <mergeCell ref="E13:E15"/>
    <mergeCell ref="F13:G15"/>
    <mergeCell ref="C7:C15"/>
    <mergeCell ref="C17:C37"/>
    <mergeCell ref="H7:H9"/>
    <mergeCell ref="H10:H12"/>
    <mergeCell ref="H79:H81"/>
    <mergeCell ref="H82:H84"/>
    <mergeCell ref="H86:H88"/>
    <mergeCell ref="H89:H91"/>
    <mergeCell ref="H45:H47"/>
    <mergeCell ref="H49:H51"/>
    <mergeCell ref="H52:H54"/>
    <mergeCell ref="H55:H57"/>
    <mergeCell ref="H58:H60"/>
    <mergeCell ref="H61:H63"/>
    <mergeCell ref="H64:H66"/>
    <mergeCell ref="H67:H69"/>
    <mergeCell ref="D23:D25"/>
    <mergeCell ref="E23:E25"/>
    <mergeCell ref="F23:G25"/>
    <mergeCell ref="D55:D57"/>
    <mergeCell ref="E55:E57"/>
    <mergeCell ref="C82:C84"/>
    <mergeCell ref="D82:D84"/>
    <mergeCell ref="E82:E84"/>
    <mergeCell ref="F82:G84"/>
  </mergeCells>
  <conditionalFormatting sqref="N7:N15 N17:N37 N39:N47 N49:N84 N86:N91">
    <cfRule type="expression" dxfId="0" priority="1">
      <formula>$N$92&lt;&gt;100%</formula>
    </cfRule>
  </conditionalFormatting>
  <dataValidations count="10">
    <dataValidation type="whole" operator="equal" allowBlank="1" showInputMessage="1" showErrorMessage="1" errorTitle="Error en la métrica" error="El valor ingresado en la variable T debe ser 15." sqref="J24">
      <formula1>15</formula1>
    </dataValidation>
    <dataValidation type="whole" operator="lessThanOrEqual" allowBlank="1" showInputMessage="1" showErrorMessage="1" errorTitle="Error en la métrica" error="El valor ingresado en la variable A debe ser menor o igual a la variable B" sqref="J86 J52 J82 J79 J13 J17 J73 J70 J67 J32 J61 J45">
      <formula1>J14</formula1>
    </dataValidation>
    <dataValidation type="custom" allowBlank="1" showInputMessage="1" showErrorMessage="1" errorTitle="Error en la métrica" error="El valor ingresado en la variable B debe ser:_x000a_1. Mayor a cero._x000a_2. Mayor o igual a la variable A" sqref="J87 J8 J11 J14 J18 J21 J27 J30 J33 J36 J40 J90 J53 J46 J50 J56 J59 J62 J65 J68 J71 J74 J80 J83">
      <formula1>AND(J8&gt;0,J8&gt;=J7)</formula1>
    </dataValidation>
    <dataValidation type="list" allowBlank="1" showInputMessage="1" showErrorMessage="1" errorTitle="Error en Nivel de Importancia" error="No se debe ingresar valores que no están en la lista." sqref="M86:M91 M7:M15 M17:M37 M49:M84 M39:M47">
      <formula1>importancia</formula1>
    </dataValidation>
    <dataValidation type="list" allowBlank="1" showInputMessage="1" showErrorMessage="1" sqref="H7 H10 H13 H17 H20 H23 H26 H29 H32 H35 H39 H42 H45 H49 H52 H55 H58 H61 H64 H67 H70 H73 H76 H79 H82 H86 H89">
      <formula1>aplica2</formula1>
    </dataValidation>
    <dataValidation type="whole" operator="lessThanOrEqual" showInputMessage="1" showErrorMessage="1" errorTitle="Error en la métrica" error="El valor ingresado en la variable A debe ser menor o igual a la variable B" sqref="J7 J10 J20 J26 J29 J35 J39 J42 J49 J55 J58 J64 J89">
      <formula1>J8</formula1>
    </dataValidation>
    <dataValidation operator="lessThanOrEqual" allowBlank="1" showInputMessage="1" showErrorMessage="1" errorTitle="Mensaje exitoso" error="El valor ingresado en la variable A es mayor al umbral, el cual es considerado exitoso." sqref="J23"/>
    <dataValidation operator="lessThanOrEqual" allowBlank="1" showInputMessage="1" showErrorMessage="1" errorTitle="Mensaje exitoso" error="El valor ingresado en la variable A es mayor al umbral, el cual es considerado no exitoso." sqref="J76"/>
    <dataValidation type="whole" operator="equal" allowBlank="1" showInputMessage="1" showErrorMessage="1" errorTitle="Error en la métrica" error="El valor ingresado en la variable T debe ser 12." sqref="J77">
      <formula1>12</formula1>
    </dataValidation>
    <dataValidation type="custom" allowBlank="1" showInputMessage="1" showErrorMessage="1" errorTitle="Error en la métrica" error="El valor ingresado en la variable B debe ser:_x000a_1. Mayor a cero._x000a_2. Mayor o igual a la variable A" sqref="J43">
      <formula1>AND(J43&gt;0,J43&gt;=J42)</formula1>
    </dataValidation>
  </dataValidation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2:E10"/>
  <sheetViews>
    <sheetView showGridLines="0" workbookViewId="0">
      <selection activeCell="E7" sqref="E7"/>
    </sheetView>
  </sheetViews>
  <sheetFormatPr baseColWidth="10" defaultColWidth="11.42578125" defaultRowHeight="15" x14ac:dyDescent="0.25"/>
  <cols>
    <col min="1" max="1" width="11.42578125" style="1"/>
    <col min="2" max="2" width="17.85546875" style="1" customWidth="1"/>
    <col min="3" max="3" width="30.28515625" style="1" customWidth="1"/>
    <col min="4" max="5" width="30.42578125" style="1" customWidth="1"/>
    <col min="6" max="16384" width="11.42578125" style="1"/>
  </cols>
  <sheetData>
    <row r="2" spans="2:5" ht="32.25" customHeight="1" x14ac:dyDescent="0.25">
      <c r="B2" s="180" t="s">
        <v>256</v>
      </c>
      <c r="C2" s="180"/>
      <c r="D2" s="180"/>
      <c r="E2" s="180"/>
    </row>
    <row r="3" spans="2:5" ht="30" customHeight="1" x14ac:dyDescent="0.25">
      <c r="B3" s="180"/>
      <c r="C3" s="180"/>
      <c r="D3" s="180"/>
      <c r="E3" s="180"/>
    </row>
    <row r="5" spans="2:5" ht="15.75" thickBot="1" x14ac:dyDescent="0.3"/>
    <row r="6" spans="2:5" ht="29.25" thickBot="1" x14ac:dyDescent="0.3">
      <c r="B6" s="25" t="s">
        <v>252</v>
      </c>
      <c r="C6" s="25" t="s">
        <v>253</v>
      </c>
      <c r="D6" s="25" t="s">
        <v>254</v>
      </c>
      <c r="E6" s="25" t="s">
        <v>255</v>
      </c>
    </row>
    <row r="7" spans="2:5" ht="38.25" customHeight="1" thickBot="1" x14ac:dyDescent="0.3">
      <c r="B7" s="2" t="s">
        <v>243</v>
      </c>
      <c r="C7" s="3">
        <f>'CALIDAD INTERNA'!P7</f>
        <v>7.3649187691131504</v>
      </c>
      <c r="D7" s="2" t="str">
        <f>IF($C7&lt;2.75,"INACEPTABLE",IF($C7&lt;5,"MINIMAMENTE ACEPTABLE",IF($C7&lt;8.75,"RANGO OBJETIVO","EXCEDE LOS REQUISITOS")))</f>
        <v>RANGO OBJETIVO</v>
      </c>
      <c r="E7" s="2" t="str">
        <f>IF($C7&lt;5,"INSATISFACTORIO",IF($C7&lt;8.75,"SATISFACTORIO","MUY SATISFACTORIO"))</f>
        <v>SATISFACTORIO</v>
      </c>
    </row>
    <row r="8" spans="2:5" ht="35.25" customHeight="1" thickBot="1" x14ac:dyDescent="0.3">
      <c r="B8" s="2" t="s">
        <v>244</v>
      </c>
      <c r="C8" s="3">
        <f>'CALIDAD EXTERNA'!P7</f>
        <v>8.6287500000000001</v>
      </c>
      <c r="D8" s="2" t="str">
        <f>IF($C8&lt;2.75,"INACEPTABLE",IF($C8&lt;5,"MINIMAMENTE ACEPTABLE",IF($C8&lt;8.75,"RANGO OBJETIVO","EXCEDE LOS REQUISITOS")))</f>
        <v>RANGO OBJETIVO</v>
      </c>
      <c r="E8" s="2" t="str">
        <f>IF($C8&lt;5,"INSATISFACTORIO",IF($C8&lt;8.75,"SATISFACTORIO","MUY SATISFACTORIO"))</f>
        <v>SATISFACTORIO</v>
      </c>
    </row>
    <row r="9" spans="2:5" ht="32.25" customHeight="1" thickBot="1" x14ac:dyDescent="0.3">
      <c r="B9" s="2" t="s">
        <v>245</v>
      </c>
      <c r="C9" s="3">
        <f>'CALIDAD EN USO'!P7</f>
        <v>9.0700854700854698</v>
      </c>
      <c r="D9" s="2" t="str">
        <f>IF($C9&lt;2.75,"INACEPTABLE",IF($C9&lt;5,"MINIMAMENTE ACEPTABLE",IF($C9&lt;8.75,"RANGO OBJETIVO","EXCEDE LOS REQUISITOS")))</f>
        <v>EXCEDE LOS REQUISITOS</v>
      </c>
      <c r="E9" s="2" t="str">
        <f>IF($C9&lt;5,"INSATISFACTORIO",IF($C9&lt;8.75,"SATISFACTORIO","MUY SATISFACTORIO"))</f>
        <v>MUY SATISFACTORIO</v>
      </c>
    </row>
    <row r="10" spans="2:5" ht="36.75" customHeight="1" thickBot="1" x14ac:dyDescent="0.3">
      <c r="B10" s="4" t="s">
        <v>246</v>
      </c>
      <c r="C10" s="5">
        <f>AVERAGE(C7:C9)</f>
        <v>8.3545847463995404</v>
      </c>
      <c r="D10" s="4" t="str">
        <f>IF($C10&lt;2.75,"INACEPTABLE",IF($C10&lt;5,"MINIMAMENTE ACEPTABLE",IF($C10&lt;8.75,"RANGO OBJETIVO","EXCEDE LOS REQUISITOS")))</f>
        <v>RANGO OBJETIVO</v>
      </c>
      <c r="E10" s="4" t="str">
        <f>IF($C10&lt;5,"INSATISFACTORIO",IF($C10&lt;8.75,"SATISFACTORIO","MUY SATISFACTORIO"))</f>
        <v>SATISFACTORIO</v>
      </c>
    </row>
  </sheetData>
  <sheetProtection algorithmName="SHA-512" hashValue="mDBy48f/O5DiyglFtve/ZrX6x6lb6I9F6TOxYVPssfFF1iQ++Ffo0+7jLuoE4oqjpZzvGXdcrefV5USFWsvyMg==" saltValue="zVnQl+gY49L5EjqRm5Q4Yg==" spinCount="100000" sheet="1" objects="1" scenarios="1"/>
  <mergeCells count="1">
    <mergeCell ref="B2:E3"/>
  </mergeCells>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B5"/>
  <sheetViews>
    <sheetView workbookViewId="0">
      <selection activeCell="F14" sqref="F14"/>
    </sheetView>
  </sheetViews>
  <sheetFormatPr baseColWidth="10" defaultColWidth="11.42578125" defaultRowHeight="15" x14ac:dyDescent="0.25"/>
  <cols>
    <col min="1" max="1" width="16.28515625" style="1" customWidth="1"/>
    <col min="2" max="16384" width="11.42578125" style="1"/>
  </cols>
  <sheetData>
    <row r="1" spans="1:2" x14ac:dyDescent="0.25">
      <c r="A1" s="1" t="s">
        <v>263</v>
      </c>
      <c r="B1" s="1" t="s">
        <v>263</v>
      </c>
    </row>
    <row r="2" spans="1:2" x14ac:dyDescent="0.25">
      <c r="A2" s="1" t="s">
        <v>257</v>
      </c>
      <c r="B2" s="1" t="s">
        <v>261</v>
      </c>
    </row>
    <row r="3" spans="1:2" x14ac:dyDescent="0.25">
      <c r="A3" s="1" t="s">
        <v>223</v>
      </c>
      <c r="B3" s="1" t="s">
        <v>262</v>
      </c>
    </row>
    <row r="4" spans="1:2" x14ac:dyDescent="0.25">
      <c r="A4" s="1" t="s">
        <v>224</v>
      </c>
    </row>
    <row r="5" spans="1:2" x14ac:dyDescent="0.25">
      <c r="A5" s="1" t="s">
        <v>258</v>
      </c>
    </row>
  </sheetData>
  <dataValidations count="1">
    <dataValidation type="list" allowBlank="1" showInputMessage="1" showErrorMessage="1" sqref="A9">
      <formula1>$A$2:$A$5</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AND(importancia,IF('CALIDAD INTERNA'!M7:M10&lt;&gt;"M","Verdadero","falso"))</xm:f>
          </x14:formula1>
          <xm:sqref>A8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9"/>
  <sheetViews>
    <sheetView topLeftCell="F22" workbookViewId="0">
      <selection activeCell="F7" sqref="F7"/>
    </sheetView>
  </sheetViews>
  <sheetFormatPr baseColWidth="10" defaultRowHeight="15" x14ac:dyDescent="0.25"/>
  <cols>
    <col min="1" max="1" width="19.42578125" customWidth="1"/>
    <col min="2" max="3" width="19.42578125" style="1" customWidth="1"/>
    <col min="4" max="4" width="19.7109375" customWidth="1"/>
    <col min="5" max="5" width="14.140625" customWidth="1"/>
    <col min="6" max="6" width="16.140625" customWidth="1"/>
  </cols>
  <sheetData>
    <row r="1" spans="4:6" s="1" customFormat="1" x14ac:dyDescent="0.25"/>
    <row r="2" spans="4:6" s="1" customFormat="1" x14ac:dyDescent="0.25">
      <c r="D2" s="1" t="s">
        <v>300</v>
      </c>
    </row>
    <row r="4" spans="4:6" x14ac:dyDescent="0.25">
      <c r="E4" t="s">
        <v>322</v>
      </c>
      <c r="F4" t="s">
        <v>299</v>
      </c>
    </row>
    <row r="5" spans="4:6" x14ac:dyDescent="0.25">
      <c r="D5" s="49">
        <f>'RESULTADO FINAL'!C10</f>
        <v>8.3545847463995404</v>
      </c>
      <c r="E5" s="53">
        <f>D5/10</f>
        <v>0.83545847463995404</v>
      </c>
      <c r="F5" s="50">
        <v>0.17</v>
      </c>
    </row>
    <row r="6" spans="4:6" x14ac:dyDescent="0.25">
      <c r="E6" s="51"/>
      <c r="F6" s="52"/>
    </row>
    <row r="23" spans="2:6" x14ac:dyDescent="0.25">
      <c r="D23" t="s">
        <v>301</v>
      </c>
    </row>
    <row r="25" spans="2:6" x14ac:dyDescent="0.25">
      <c r="B25" s="54" t="s">
        <v>307</v>
      </c>
      <c r="C25" s="54" t="s">
        <v>306</v>
      </c>
      <c r="D25" s="54" t="s">
        <v>308</v>
      </c>
    </row>
    <row r="26" spans="2:6" x14ac:dyDescent="0.25">
      <c r="B26" t="s">
        <v>302</v>
      </c>
      <c r="C26" s="1" t="str">
        <f>'RESULTADO FINAL'!E7</f>
        <v>SATISFACTORIO</v>
      </c>
      <c r="D26" s="50">
        <f>'RESULTADO FINAL'!C7/10</f>
        <v>0.73649187691131501</v>
      </c>
      <c r="F26" s="52"/>
    </row>
    <row r="27" spans="2:6" x14ac:dyDescent="0.25">
      <c r="B27" t="s">
        <v>303</v>
      </c>
      <c r="C27" s="1" t="str">
        <f>'RESULTADO FINAL'!E8</f>
        <v>SATISFACTORIO</v>
      </c>
      <c r="D27" s="50">
        <f>'RESULTADO FINAL'!C8/10</f>
        <v>0.86287500000000006</v>
      </c>
      <c r="F27" s="52"/>
    </row>
    <row r="28" spans="2:6" x14ac:dyDescent="0.25">
      <c r="B28" s="1" t="s">
        <v>304</v>
      </c>
      <c r="C28" s="1" t="str">
        <f>'RESULTADO FINAL'!E9</f>
        <v>MUY SATISFACTORIO</v>
      </c>
      <c r="D28" s="50">
        <f>'RESULTADO FINAL'!C9/10</f>
        <v>0.90700854700854694</v>
      </c>
      <c r="F28" s="52"/>
    </row>
    <row r="29" spans="2:6" x14ac:dyDescent="0.25">
      <c r="B29" s="1" t="s">
        <v>298</v>
      </c>
      <c r="C29" s="1" t="str">
        <f>'RESULTADO FINAL'!E10</f>
        <v>SATISFACTORIO</v>
      </c>
      <c r="D29" s="50">
        <f>'RESULTADO FINAL'!C10/10</f>
        <v>0.83545847463995404</v>
      </c>
    </row>
  </sheetData>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7"/>
  <sheetViews>
    <sheetView zoomScale="115" zoomScaleNormal="115" workbookViewId="0">
      <selection activeCell="F24" sqref="F24"/>
    </sheetView>
  </sheetViews>
  <sheetFormatPr baseColWidth="10" defaultRowHeight="15" x14ac:dyDescent="0.25"/>
  <cols>
    <col min="1" max="1" width="8.5703125" style="1" customWidth="1"/>
    <col min="2" max="2" width="6.42578125" customWidth="1"/>
    <col min="3" max="3" width="17.140625" customWidth="1"/>
    <col min="4" max="4" width="14" style="1" customWidth="1"/>
    <col min="5" max="5" width="13.140625" customWidth="1"/>
    <col min="6" max="6" width="14.5703125" customWidth="1"/>
    <col min="8" max="8" width="14.85546875" customWidth="1"/>
    <col min="9" max="9" width="13.85546875" customWidth="1"/>
    <col min="11" max="11" width="17" customWidth="1"/>
  </cols>
  <sheetData>
    <row r="3" spans="2:13" ht="25.5" customHeight="1" thickBot="1" x14ac:dyDescent="0.3">
      <c r="B3" s="66"/>
      <c r="C3" s="185" t="s">
        <v>320</v>
      </c>
      <c r="D3" s="185"/>
      <c r="E3" s="185"/>
      <c r="F3" s="185"/>
      <c r="G3" s="185"/>
      <c r="H3" s="185"/>
      <c r="I3" s="185"/>
    </row>
    <row r="4" spans="2:13" ht="47.25" customHeight="1" thickBot="1" x14ac:dyDescent="0.3">
      <c r="B4" s="181" t="s">
        <v>314</v>
      </c>
      <c r="C4" s="61" t="s">
        <v>309</v>
      </c>
      <c r="D4" s="62" t="s">
        <v>311</v>
      </c>
      <c r="E4" s="62" t="s">
        <v>310</v>
      </c>
      <c r="F4" s="62" t="s">
        <v>312</v>
      </c>
      <c r="G4" s="62" t="s">
        <v>313</v>
      </c>
      <c r="H4" s="62" t="s">
        <v>319</v>
      </c>
      <c r="I4" s="62" t="s">
        <v>318</v>
      </c>
      <c r="L4" s="68" t="s">
        <v>321</v>
      </c>
      <c r="M4" s="68"/>
    </row>
    <row r="5" spans="2:13" ht="29.25" customHeight="1" thickBot="1" x14ac:dyDescent="0.3">
      <c r="B5" s="181"/>
      <c r="C5" s="55" t="s">
        <v>3</v>
      </c>
      <c r="D5" s="56">
        <v>10</v>
      </c>
      <c r="E5" s="57" t="s">
        <v>223</v>
      </c>
      <c r="F5" s="58">
        <v>0.2</v>
      </c>
      <c r="G5" s="56">
        <f>D5*F5</f>
        <v>2</v>
      </c>
      <c r="H5" s="182">
        <f>SUM(G5:G12)</f>
        <v>7.3665000000000003</v>
      </c>
      <c r="I5" s="186">
        <f>AVERAGE(H5,H14,H23)</f>
        <v>8.3551666666666673</v>
      </c>
      <c r="K5" s="69" t="s">
        <v>3</v>
      </c>
      <c r="L5" s="50">
        <f t="shared" ref="L5:L12" si="0">G5/10</f>
        <v>0.2</v>
      </c>
      <c r="M5" s="50"/>
    </row>
    <row r="6" spans="2:13" ht="20.25" customHeight="1" thickBot="1" x14ac:dyDescent="0.3">
      <c r="B6" s="181"/>
      <c r="C6" s="59" t="s">
        <v>4</v>
      </c>
      <c r="D6" s="56">
        <v>10</v>
      </c>
      <c r="E6" s="57" t="s">
        <v>223</v>
      </c>
      <c r="F6" s="60">
        <v>0.1</v>
      </c>
      <c r="G6" s="56">
        <f t="shared" ref="G6:G12" si="1">D6*F6</f>
        <v>1</v>
      </c>
      <c r="H6" s="183"/>
      <c r="I6" s="187"/>
      <c r="K6" s="69" t="s">
        <v>4</v>
      </c>
      <c r="L6" s="50">
        <f t="shared" si="0"/>
        <v>0.1</v>
      </c>
    </row>
    <row r="7" spans="2:13" ht="27" customHeight="1" thickBot="1" x14ac:dyDescent="0.3">
      <c r="B7" s="181"/>
      <c r="C7" s="55" t="s">
        <v>5</v>
      </c>
      <c r="D7" s="56">
        <v>5.6</v>
      </c>
      <c r="E7" s="57" t="s">
        <v>223</v>
      </c>
      <c r="F7" s="60">
        <v>0.15</v>
      </c>
      <c r="G7" s="56">
        <f t="shared" si="1"/>
        <v>0.84</v>
      </c>
      <c r="H7" s="183"/>
      <c r="I7" s="187"/>
      <c r="K7" s="69" t="s">
        <v>5</v>
      </c>
      <c r="L7" s="50">
        <f t="shared" si="0"/>
        <v>8.3999999999999991E-2</v>
      </c>
    </row>
    <row r="8" spans="2:13" ht="19.5" customHeight="1" thickBot="1" x14ac:dyDescent="0.3">
      <c r="B8" s="181"/>
      <c r="C8" s="59" t="s">
        <v>6</v>
      </c>
      <c r="D8" s="56">
        <v>7.53</v>
      </c>
      <c r="E8" s="57" t="s">
        <v>223</v>
      </c>
      <c r="F8" s="60">
        <v>0.15</v>
      </c>
      <c r="G8" s="56">
        <f t="shared" si="1"/>
        <v>1.1294999999999999</v>
      </c>
      <c r="H8" s="183"/>
      <c r="I8" s="187"/>
      <c r="K8" s="69" t="s">
        <v>6</v>
      </c>
      <c r="L8" s="50">
        <f t="shared" si="0"/>
        <v>0.11294999999999999</v>
      </c>
    </row>
    <row r="9" spans="2:13" ht="19.5" customHeight="1" thickBot="1" x14ac:dyDescent="0.3">
      <c r="B9" s="181"/>
      <c r="C9" s="55" t="s">
        <v>7</v>
      </c>
      <c r="D9" s="56">
        <v>1.67</v>
      </c>
      <c r="E9" s="57" t="s">
        <v>223</v>
      </c>
      <c r="F9" s="60">
        <v>0.1</v>
      </c>
      <c r="G9" s="56">
        <f t="shared" si="1"/>
        <v>0.16700000000000001</v>
      </c>
      <c r="H9" s="183"/>
      <c r="I9" s="187"/>
      <c r="K9" s="69" t="s">
        <v>7</v>
      </c>
      <c r="L9" s="50">
        <f t="shared" si="0"/>
        <v>1.67E-2</v>
      </c>
    </row>
    <row r="10" spans="2:13" ht="18.75" customHeight="1" thickBot="1" x14ac:dyDescent="0.3">
      <c r="B10" s="181"/>
      <c r="C10" s="59" t="s">
        <v>8</v>
      </c>
      <c r="D10" s="56">
        <v>10</v>
      </c>
      <c r="E10" s="57" t="s">
        <v>224</v>
      </c>
      <c r="F10" s="60">
        <v>0.05</v>
      </c>
      <c r="G10" s="56">
        <f t="shared" si="1"/>
        <v>0.5</v>
      </c>
      <c r="H10" s="183"/>
      <c r="I10" s="187"/>
      <c r="K10" s="69" t="s">
        <v>8</v>
      </c>
      <c r="L10" s="50">
        <f t="shared" si="0"/>
        <v>0.05</v>
      </c>
    </row>
    <row r="11" spans="2:13" ht="18" customHeight="1" thickBot="1" x14ac:dyDescent="0.3">
      <c r="B11" s="181"/>
      <c r="C11" s="55" t="s">
        <v>9</v>
      </c>
      <c r="D11" s="56">
        <v>6.92</v>
      </c>
      <c r="E11" s="57" t="s">
        <v>257</v>
      </c>
      <c r="F11" s="60">
        <v>0.25</v>
      </c>
      <c r="G11" s="56">
        <f t="shared" si="1"/>
        <v>1.73</v>
      </c>
      <c r="H11" s="183"/>
      <c r="I11" s="187"/>
      <c r="K11" s="69" t="s">
        <v>9</v>
      </c>
      <c r="L11" s="50">
        <f t="shared" si="0"/>
        <v>0.17299999999999999</v>
      </c>
    </row>
    <row r="12" spans="2:13" ht="18.75" customHeight="1" thickBot="1" x14ac:dyDescent="0.3">
      <c r="B12" s="181"/>
      <c r="C12" s="59" t="s">
        <v>147</v>
      </c>
      <c r="D12" s="56">
        <v>0</v>
      </c>
      <c r="E12" s="57" t="s">
        <v>258</v>
      </c>
      <c r="F12" s="60">
        <v>0</v>
      </c>
      <c r="G12" s="56">
        <f t="shared" si="1"/>
        <v>0</v>
      </c>
      <c r="H12" s="184"/>
      <c r="I12" s="187"/>
      <c r="K12" s="69" t="s">
        <v>147</v>
      </c>
      <c r="L12" s="50">
        <f t="shared" si="0"/>
        <v>0</v>
      </c>
    </row>
    <row r="13" spans="2:13" s="1" customFormat="1" ht="3" customHeight="1" thickBot="1" x14ac:dyDescent="0.3">
      <c r="C13" s="189"/>
      <c r="D13" s="185"/>
      <c r="E13" s="185"/>
      <c r="F13" s="185"/>
      <c r="G13" s="185"/>
      <c r="H13" s="185"/>
      <c r="I13" s="187"/>
    </row>
    <row r="14" spans="2:13" s="1" customFormat="1" ht="29.25" customHeight="1" thickBot="1" x14ac:dyDescent="0.3">
      <c r="B14" s="181" t="s">
        <v>315</v>
      </c>
      <c r="C14" s="55" t="s">
        <v>3</v>
      </c>
      <c r="D14" s="56">
        <v>10</v>
      </c>
      <c r="E14" s="57" t="s">
        <v>257</v>
      </c>
      <c r="F14" s="60">
        <v>0.2</v>
      </c>
      <c r="G14" s="56">
        <f>D14*F14</f>
        <v>2</v>
      </c>
      <c r="H14" s="182">
        <f>SUM(G14:G21)</f>
        <v>8.6289999999999996</v>
      </c>
      <c r="I14" s="187"/>
      <c r="K14" s="69" t="s">
        <v>3</v>
      </c>
      <c r="L14" s="50">
        <f t="shared" ref="L14:L21" si="2">G14/10</f>
        <v>0.2</v>
      </c>
    </row>
    <row r="15" spans="2:13" s="1" customFormat="1" ht="20.25" customHeight="1" thickBot="1" x14ac:dyDescent="0.3">
      <c r="B15" s="181"/>
      <c r="C15" s="59" t="s">
        <v>4</v>
      </c>
      <c r="D15" s="56">
        <v>7</v>
      </c>
      <c r="E15" s="63" t="s">
        <v>223</v>
      </c>
      <c r="F15" s="67">
        <v>0.15</v>
      </c>
      <c r="G15" s="56">
        <f t="shared" ref="G15:G21" si="3">D15*F15</f>
        <v>1.05</v>
      </c>
      <c r="H15" s="183"/>
      <c r="I15" s="187"/>
      <c r="K15" s="69" t="s">
        <v>4</v>
      </c>
      <c r="L15" s="50">
        <f t="shared" si="2"/>
        <v>0.10500000000000001</v>
      </c>
    </row>
    <row r="16" spans="2:13" s="1" customFormat="1" ht="27.75" customHeight="1" thickBot="1" x14ac:dyDescent="0.3">
      <c r="B16" s="181"/>
      <c r="C16" s="55" t="s">
        <v>5</v>
      </c>
      <c r="D16" s="56">
        <v>7</v>
      </c>
      <c r="E16" s="63" t="s">
        <v>223</v>
      </c>
      <c r="F16" s="67">
        <v>0.13</v>
      </c>
      <c r="G16" s="56">
        <f t="shared" si="3"/>
        <v>0.91</v>
      </c>
      <c r="H16" s="183"/>
      <c r="I16" s="187"/>
      <c r="K16" s="69" t="s">
        <v>5</v>
      </c>
      <c r="L16" s="50">
        <f t="shared" si="2"/>
        <v>9.0999999999999998E-2</v>
      </c>
    </row>
    <row r="17" spans="2:12" s="1" customFormat="1" ht="19.5" customHeight="1" thickBot="1" x14ac:dyDescent="0.3">
      <c r="B17" s="181"/>
      <c r="C17" s="59" t="s">
        <v>6</v>
      </c>
      <c r="D17" s="56">
        <v>6.46</v>
      </c>
      <c r="E17" s="63" t="s">
        <v>223</v>
      </c>
      <c r="F17" s="67">
        <v>0.15</v>
      </c>
      <c r="G17" s="56">
        <f t="shared" si="3"/>
        <v>0.96899999999999997</v>
      </c>
      <c r="H17" s="183"/>
      <c r="I17" s="187"/>
      <c r="K17" s="69" t="s">
        <v>6</v>
      </c>
      <c r="L17" s="50">
        <f t="shared" si="2"/>
        <v>9.69E-2</v>
      </c>
    </row>
    <row r="18" spans="2:12" s="1" customFormat="1" ht="19.5" customHeight="1" thickBot="1" x14ac:dyDescent="0.3">
      <c r="B18" s="181"/>
      <c r="C18" s="55" t="s">
        <v>7</v>
      </c>
      <c r="D18" s="56">
        <v>10</v>
      </c>
      <c r="E18" s="63" t="s">
        <v>224</v>
      </c>
      <c r="F18" s="67">
        <v>0.05</v>
      </c>
      <c r="G18" s="56">
        <f t="shared" si="3"/>
        <v>0.5</v>
      </c>
      <c r="H18" s="183"/>
      <c r="I18" s="187"/>
      <c r="K18" s="69" t="s">
        <v>7</v>
      </c>
      <c r="L18" s="50">
        <f t="shared" si="2"/>
        <v>0.05</v>
      </c>
    </row>
    <row r="19" spans="2:12" s="1" customFormat="1" ht="18.75" customHeight="1" thickBot="1" x14ac:dyDescent="0.3">
      <c r="B19" s="181"/>
      <c r="C19" s="59" t="s">
        <v>8</v>
      </c>
      <c r="D19" s="56">
        <v>10</v>
      </c>
      <c r="E19" s="63" t="s">
        <v>257</v>
      </c>
      <c r="F19" s="67">
        <v>0.2</v>
      </c>
      <c r="G19" s="56">
        <f t="shared" si="3"/>
        <v>2</v>
      </c>
      <c r="H19" s="183"/>
      <c r="I19" s="187"/>
      <c r="K19" s="69" t="s">
        <v>8</v>
      </c>
      <c r="L19" s="50">
        <f t="shared" si="2"/>
        <v>0.2</v>
      </c>
    </row>
    <row r="20" spans="2:12" s="1" customFormat="1" ht="18" customHeight="1" thickBot="1" x14ac:dyDescent="0.3">
      <c r="B20" s="181"/>
      <c r="C20" s="55" t="s">
        <v>9</v>
      </c>
      <c r="D20" s="56">
        <v>10</v>
      </c>
      <c r="E20" s="63" t="s">
        <v>223</v>
      </c>
      <c r="F20" s="67">
        <v>0.12</v>
      </c>
      <c r="G20" s="56">
        <f t="shared" si="3"/>
        <v>1.2</v>
      </c>
      <c r="H20" s="183"/>
      <c r="I20" s="187"/>
      <c r="K20" s="69" t="s">
        <v>9</v>
      </c>
      <c r="L20" s="50">
        <f t="shared" si="2"/>
        <v>0.12</v>
      </c>
    </row>
    <row r="21" spans="2:12" s="1" customFormat="1" ht="18.75" customHeight="1" thickBot="1" x14ac:dyDescent="0.3">
      <c r="B21" s="181"/>
      <c r="C21" s="59" t="s">
        <v>147</v>
      </c>
      <c r="D21" s="56">
        <v>0</v>
      </c>
      <c r="E21" s="63" t="s">
        <v>258</v>
      </c>
      <c r="F21" s="67">
        <v>0</v>
      </c>
      <c r="G21" s="56">
        <f t="shared" si="3"/>
        <v>0</v>
      </c>
      <c r="H21" s="184"/>
      <c r="I21" s="187"/>
      <c r="K21" s="69" t="s">
        <v>147</v>
      </c>
      <c r="L21" s="50">
        <f t="shared" si="2"/>
        <v>0</v>
      </c>
    </row>
    <row r="22" spans="2:12" ht="3" customHeight="1" thickBot="1" x14ac:dyDescent="0.3">
      <c r="B22" s="1"/>
      <c r="C22" s="189"/>
      <c r="D22" s="185"/>
      <c r="E22" s="185"/>
      <c r="F22" s="185"/>
      <c r="G22" s="185"/>
      <c r="H22" s="185"/>
      <c r="I22" s="187"/>
    </row>
    <row r="23" spans="2:12" ht="21" customHeight="1" thickBot="1" x14ac:dyDescent="0.3">
      <c r="B23" s="181" t="s">
        <v>316</v>
      </c>
      <c r="C23" s="56" t="s">
        <v>171</v>
      </c>
      <c r="D23" s="56">
        <v>10</v>
      </c>
      <c r="E23" s="56" t="s">
        <v>257</v>
      </c>
      <c r="F23" s="65">
        <v>0.3</v>
      </c>
      <c r="G23" s="56">
        <f>D23*F23</f>
        <v>3</v>
      </c>
      <c r="H23" s="182">
        <f>SUM(G23:G27)</f>
        <v>9.07</v>
      </c>
      <c r="I23" s="187"/>
      <c r="K23" s="69" t="s">
        <v>171</v>
      </c>
      <c r="L23" s="50">
        <f>G23/10</f>
        <v>0.3</v>
      </c>
    </row>
    <row r="24" spans="2:12" ht="21.75" customHeight="1" thickBot="1" x14ac:dyDescent="0.3">
      <c r="B24" s="181"/>
      <c r="C24" s="59" t="s">
        <v>175</v>
      </c>
      <c r="D24" s="56">
        <v>7.35</v>
      </c>
      <c r="E24" s="64" t="s">
        <v>223</v>
      </c>
      <c r="F24" s="65">
        <v>0.2</v>
      </c>
      <c r="G24" s="56">
        <f t="shared" ref="G24:G27" si="4">D24*F24</f>
        <v>1.47</v>
      </c>
      <c r="H24" s="183"/>
      <c r="I24" s="187"/>
      <c r="K24" s="69" t="s">
        <v>175</v>
      </c>
      <c r="L24" s="50">
        <f>G24/10</f>
        <v>0.14699999999999999</v>
      </c>
    </row>
    <row r="25" spans="2:12" ht="20.25" customHeight="1" thickBot="1" x14ac:dyDescent="0.3">
      <c r="B25" s="181"/>
      <c r="C25" s="55" t="s">
        <v>186</v>
      </c>
      <c r="D25" s="56">
        <v>9</v>
      </c>
      <c r="E25" s="64" t="s">
        <v>257</v>
      </c>
      <c r="F25" s="65">
        <v>0.4</v>
      </c>
      <c r="G25" s="56">
        <f t="shared" si="4"/>
        <v>3.6</v>
      </c>
      <c r="H25" s="183"/>
      <c r="I25" s="187"/>
      <c r="K25" s="69" t="s">
        <v>186</v>
      </c>
      <c r="L25" s="50">
        <f>G25/10</f>
        <v>0.36</v>
      </c>
    </row>
    <row r="26" spans="2:12" ht="21" customHeight="1" thickBot="1" x14ac:dyDescent="0.3">
      <c r="B26" s="181"/>
      <c r="C26" s="59" t="s">
        <v>192</v>
      </c>
      <c r="D26" s="56">
        <v>10</v>
      </c>
      <c r="E26" s="64" t="s">
        <v>223</v>
      </c>
      <c r="F26" s="65">
        <v>0.1</v>
      </c>
      <c r="G26" s="56">
        <f t="shared" si="4"/>
        <v>1</v>
      </c>
      <c r="H26" s="183"/>
      <c r="I26" s="187"/>
      <c r="K26" s="69" t="s">
        <v>192</v>
      </c>
      <c r="L26" s="50">
        <f>G26/10</f>
        <v>0.1</v>
      </c>
    </row>
    <row r="27" spans="2:12" ht="29.25" customHeight="1" thickBot="1" x14ac:dyDescent="0.3">
      <c r="B27" s="181"/>
      <c r="C27" s="63" t="s">
        <v>317</v>
      </c>
      <c r="D27" s="56">
        <v>0</v>
      </c>
      <c r="E27" s="64" t="s">
        <v>224</v>
      </c>
      <c r="F27" s="65">
        <v>0</v>
      </c>
      <c r="G27" s="56">
        <f t="shared" si="4"/>
        <v>0</v>
      </c>
      <c r="H27" s="184"/>
      <c r="I27" s="188"/>
      <c r="K27" s="69" t="s">
        <v>317</v>
      </c>
      <c r="L27" s="50">
        <f>G27/10</f>
        <v>0</v>
      </c>
    </row>
  </sheetData>
  <mergeCells count="10">
    <mergeCell ref="B23:B27"/>
    <mergeCell ref="H23:H27"/>
    <mergeCell ref="C3:I3"/>
    <mergeCell ref="I5:I27"/>
    <mergeCell ref="H5:H12"/>
    <mergeCell ref="C13:H13"/>
    <mergeCell ref="H14:H21"/>
    <mergeCell ref="B14:B21"/>
    <mergeCell ref="B4:B12"/>
    <mergeCell ref="C22:H22"/>
  </mergeCell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4</vt:i4>
      </vt:variant>
    </vt:vector>
  </HeadingPairs>
  <TitlesOfParts>
    <vt:vector size="11" baseType="lpstr">
      <vt:lpstr>CALIDAD INTERNA</vt:lpstr>
      <vt:lpstr>CALIDAD EXTERNA</vt:lpstr>
      <vt:lpstr>CALIDAD EN USO</vt:lpstr>
      <vt:lpstr>RESULTADO FINAL</vt:lpstr>
      <vt:lpstr>Listas</vt:lpstr>
      <vt:lpstr>Hoja1</vt:lpstr>
      <vt:lpstr>Hoja2</vt:lpstr>
      <vt:lpstr>aplica</vt:lpstr>
      <vt:lpstr>aplica2</vt:lpstr>
      <vt:lpstr>importancia</vt:lpstr>
      <vt:lpstr>importancia2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Onofa</dc:creator>
  <cp:lastModifiedBy>Evelyn Amparo Balseca Chisaguano</cp:lastModifiedBy>
  <dcterms:created xsi:type="dcterms:W3CDTF">2014-07-03T15:17:31Z</dcterms:created>
  <dcterms:modified xsi:type="dcterms:W3CDTF">2014-12-01T16:01:22Z</dcterms:modified>
</cp:coreProperties>
</file>