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codeName="ThisWorkbook"/>
  <mc:AlternateContent xmlns:mc="http://schemas.openxmlformats.org/markup-compatibility/2006">
    <mc:Choice Requires="x15">
      <x15ac:absPath xmlns:x15ac="http://schemas.microsoft.com/office/spreadsheetml/2010/11/ac" url="C:\Users\Dario\Documents\EPN\Calidad de Software\"/>
    </mc:Choice>
  </mc:AlternateContent>
  <xr:revisionPtr revIDLastSave="0" documentId="8_{3E903B2B-DE22-4196-AAA7-22C3205EE1A3}" xr6:coauthVersionLast="41" xr6:coauthVersionMax="41" xr10:uidLastSave="{00000000-0000-0000-0000-000000000000}"/>
  <bookViews>
    <workbookView xWindow="-120" yWindow="-120" windowWidth="20730" windowHeight="11310" tabRatio="707" xr2:uid="{00000000-000D-0000-FFFF-FFFF00000000}"/>
  </bookViews>
  <sheets>
    <sheet name="CALIDAD EXTERNA" sheetId="3" r:id="rId1"/>
    <sheet name="CALIDAD INTERNA" sheetId="2" r:id="rId2"/>
    <sheet name="CALIDAD EN USO" sheetId="4" r:id="rId3"/>
    <sheet name="RESULTADO FINAL" sheetId="5" r:id="rId4"/>
    <sheet name="Listas" sheetId="6" state="hidden" r:id="rId5"/>
    <sheet name="Hoja1" sheetId="7" state="hidden" r:id="rId6"/>
    <sheet name="Hoja2" sheetId="8" state="hidden" r:id="rId7"/>
  </sheets>
  <definedNames>
    <definedName name="_xlnm._FilterDatabase" localSheetId="2" hidden="1">'CALIDAD EN USO'!$B$6:$Q$92</definedName>
    <definedName name="_xlnm._FilterDatabase" localSheetId="0" hidden="1">'CALIDAD EXTERNA'!$B$6:$Q$170</definedName>
    <definedName name="_xlnm._FilterDatabase" localSheetId="1" hidden="1">'CALIDAD INTERNA'!$B$6:$R$163</definedName>
    <definedName name="aplica">Listas!$B$2:$B$3</definedName>
    <definedName name="aplica2">Listas!$B$1:$B$3</definedName>
    <definedName name="importancia">Listas!$A$1:$A$5</definedName>
    <definedName name="importancia2">Listas!$A$2:$A$5</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5" i="8" l="1"/>
  <c r="G16" i="8"/>
  <c r="G17" i="8"/>
  <c r="G18" i="8"/>
  <c r="G19" i="8"/>
  <c r="G20" i="8"/>
  <c r="G21" i="8"/>
  <c r="G27" i="8"/>
  <c r="L27" i="8"/>
  <c r="G26" i="8"/>
  <c r="L26" i="8"/>
  <c r="G25" i="8"/>
  <c r="L25" i="8"/>
  <c r="G24" i="8"/>
  <c r="L24" i="8"/>
  <c r="G23" i="8"/>
  <c r="L23" i="8"/>
  <c r="L21" i="8"/>
  <c r="L20" i="8"/>
  <c r="L19" i="8"/>
  <c r="L18" i="8"/>
  <c r="L17" i="8"/>
  <c r="L16" i="8"/>
  <c r="L15" i="8"/>
  <c r="G14" i="8"/>
  <c r="L14" i="8"/>
  <c r="G6" i="8"/>
  <c r="L6" i="8"/>
  <c r="G7" i="8"/>
  <c r="L7" i="8"/>
  <c r="G8" i="8"/>
  <c r="L8" i="8"/>
  <c r="G9" i="8"/>
  <c r="L9" i="8"/>
  <c r="G10" i="8"/>
  <c r="L10" i="8"/>
  <c r="G11" i="8"/>
  <c r="L11" i="8"/>
  <c r="G12" i="8"/>
  <c r="L12" i="8"/>
  <c r="G5" i="8"/>
  <c r="L5" i="8"/>
  <c r="H5" i="8"/>
  <c r="H14" i="8"/>
  <c r="H23" i="8"/>
  <c r="I5" i="8"/>
  <c r="J19" i="4"/>
  <c r="K17" i="4"/>
  <c r="J50" i="2"/>
  <c r="J14" i="2"/>
  <c r="J137" i="3"/>
  <c r="J41" i="2"/>
  <c r="K39" i="2"/>
  <c r="J38" i="2"/>
  <c r="K36" i="2"/>
  <c r="J35" i="2"/>
  <c r="K33" i="2"/>
  <c r="J53" i="2"/>
  <c r="K51" i="2"/>
  <c r="J52" i="2"/>
  <c r="J55" i="2"/>
  <c r="J62" i="3"/>
  <c r="J59" i="3"/>
  <c r="J115" i="3"/>
  <c r="J78" i="4"/>
  <c r="K76" i="4" s="1"/>
  <c r="J44" i="3"/>
  <c r="K42" i="3" s="1"/>
  <c r="J24" i="3"/>
  <c r="J138" i="2"/>
  <c r="J54" i="3"/>
  <c r="K53" i="3" s="1"/>
  <c r="J52" i="3"/>
  <c r="K51" i="3" s="1"/>
  <c r="J45" i="2"/>
  <c r="K44" i="2"/>
  <c r="J47" i="2"/>
  <c r="K46" i="2"/>
  <c r="J91" i="4"/>
  <c r="K89" i="4"/>
  <c r="J88" i="4"/>
  <c r="K86" i="4" s="1"/>
  <c r="L86" i="4"/>
  <c r="O86" i="4" s="1"/>
  <c r="J84" i="4"/>
  <c r="K82" i="4" s="1"/>
  <c r="J81" i="4"/>
  <c r="K79" i="4" s="1"/>
  <c r="J75" i="4"/>
  <c r="K73" i="4"/>
  <c r="J72" i="4"/>
  <c r="K70" i="4" s="1"/>
  <c r="J69" i="4"/>
  <c r="K67" i="4" s="1"/>
  <c r="J66" i="4"/>
  <c r="K64" i="4" s="1"/>
  <c r="J63" i="4"/>
  <c r="K61" i="4" s="1"/>
  <c r="J60" i="4"/>
  <c r="K58" i="4" s="1"/>
  <c r="J57" i="4"/>
  <c r="K55" i="4" s="1"/>
  <c r="J51" i="4"/>
  <c r="K49" i="4" s="1"/>
  <c r="J54" i="4"/>
  <c r="K52" i="4" s="1"/>
  <c r="J47" i="4"/>
  <c r="K45" i="4"/>
  <c r="J44" i="4"/>
  <c r="K42" i="4"/>
  <c r="J41" i="4"/>
  <c r="K39" i="4"/>
  <c r="J37" i="4"/>
  <c r="K35" i="4"/>
  <c r="J34" i="4"/>
  <c r="K32" i="4"/>
  <c r="J25" i="4"/>
  <c r="K23" i="4"/>
  <c r="J31" i="4"/>
  <c r="K29" i="4"/>
  <c r="J28" i="4"/>
  <c r="K26" i="4"/>
  <c r="J22" i="4"/>
  <c r="K20" i="4"/>
  <c r="J15" i="4"/>
  <c r="K13" i="4"/>
  <c r="J12" i="4"/>
  <c r="K10" i="4"/>
  <c r="J9" i="4"/>
  <c r="K7" i="4"/>
  <c r="J169" i="3"/>
  <c r="K167" i="3"/>
  <c r="J163" i="3"/>
  <c r="K161" i="3"/>
  <c r="J166" i="3"/>
  <c r="K164" i="3"/>
  <c r="J160" i="3"/>
  <c r="K158" i="3" s="1"/>
  <c r="J157" i="3"/>
  <c r="K155" i="3" s="1"/>
  <c r="J154" i="3"/>
  <c r="K152" i="3"/>
  <c r="J151" i="3"/>
  <c r="K149" i="3"/>
  <c r="J148" i="3"/>
  <c r="K146" i="3"/>
  <c r="J144" i="3"/>
  <c r="K142" i="3"/>
  <c r="J141" i="3"/>
  <c r="K139" i="3"/>
  <c r="J138" i="3"/>
  <c r="K136" i="3"/>
  <c r="J135" i="3"/>
  <c r="K133" i="3"/>
  <c r="J132" i="3"/>
  <c r="K130" i="3"/>
  <c r="J129" i="3"/>
  <c r="K127" i="3"/>
  <c r="L127" i="3"/>
  <c r="O127" i="3"/>
  <c r="J125" i="3"/>
  <c r="K123" i="3"/>
  <c r="J122" i="3"/>
  <c r="K120" i="3"/>
  <c r="J119" i="3"/>
  <c r="K117" i="3"/>
  <c r="L117" i="3"/>
  <c r="O117" i="3"/>
  <c r="K114" i="3"/>
  <c r="J113" i="3"/>
  <c r="K111" i="3"/>
  <c r="J110" i="3"/>
  <c r="K108" i="3"/>
  <c r="J107" i="3"/>
  <c r="K105" i="3" s="1"/>
  <c r="J104" i="3"/>
  <c r="K102" i="3" s="1"/>
  <c r="J101" i="3"/>
  <c r="K99" i="3" s="1"/>
  <c r="J97" i="3"/>
  <c r="K95" i="3" s="1"/>
  <c r="J94" i="3"/>
  <c r="K92" i="3" s="1"/>
  <c r="J91" i="3"/>
  <c r="K89" i="3" s="1"/>
  <c r="J88" i="3"/>
  <c r="K86" i="3" s="1"/>
  <c r="J85" i="3"/>
  <c r="K83" i="3" s="1"/>
  <c r="J82" i="3"/>
  <c r="K80" i="3" s="1"/>
  <c r="J79" i="3"/>
  <c r="K77" i="3" s="1"/>
  <c r="J76" i="3"/>
  <c r="K74" i="3" s="1"/>
  <c r="J73" i="3"/>
  <c r="K71" i="3" s="1"/>
  <c r="J70" i="3"/>
  <c r="K68" i="3" s="1"/>
  <c r="J65" i="3"/>
  <c r="J66" i="3"/>
  <c r="K64" i="3"/>
  <c r="J63" i="3"/>
  <c r="K61" i="3"/>
  <c r="J60" i="3"/>
  <c r="K58" i="3"/>
  <c r="J57" i="3"/>
  <c r="K55" i="3" s="1"/>
  <c r="J50" i="3"/>
  <c r="K48" i="3" s="1"/>
  <c r="J47" i="3"/>
  <c r="K45" i="3" s="1"/>
  <c r="J39" i="3"/>
  <c r="J40" i="3"/>
  <c r="K38" i="3"/>
  <c r="J37" i="3"/>
  <c r="K35" i="3"/>
  <c r="J34" i="3"/>
  <c r="K32" i="3"/>
  <c r="J30" i="3"/>
  <c r="J31" i="3"/>
  <c r="K29" i="3"/>
  <c r="J28" i="3"/>
  <c r="K26" i="3"/>
  <c r="J25" i="3"/>
  <c r="K23" i="3"/>
  <c r="J22" i="3"/>
  <c r="K20" i="3"/>
  <c r="J19" i="3"/>
  <c r="K17" i="3"/>
  <c r="J15" i="3"/>
  <c r="K13" i="3" s="1"/>
  <c r="J12" i="3"/>
  <c r="K10" i="3" s="1"/>
  <c r="J9" i="3"/>
  <c r="K7" i="3" s="1"/>
  <c r="J162" i="2"/>
  <c r="K160" i="2"/>
  <c r="J159" i="2"/>
  <c r="K157" i="2"/>
  <c r="J156" i="2"/>
  <c r="K154" i="2"/>
  <c r="J153" i="2"/>
  <c r="K151" i="2"/>
  <c r="J149" i="2"/>
  <c r="K147" i="2"/>
  <c r="J146" i="2"/>
  <c r="K144" i="2"/>
  <c r="J136" i="2"/>
  <c r="K134" i="2"/>
  <c r="J143" i="2"/>
  <c r="K141" i="2"/>
  <c r="J140" i="2"/>
  <c r="K139" i="2"/>
  <c r="K137" i="2"/>
  <c r="J133" i="2"/>
  <c r="K131" i="2"/>
  <c r="J130" i="2"/>
  <c r="K128" i="2"/>
  <c r="J127" i="2"/>
  <c r="K126" i="2"/>
  <c r="J125" i="2"/>
  <c r="K123" i="2"/>
  <c r="J121" i="2"/>
  <c r="K119" i="2"/>
  <c r="J118" i="2"/>
  <c r="K116" i="2"/>
  <c r="J115" i="2"/>
  <c r="K113" i="2"/>
  <c r="J111" i="2"/>
  <c r="K110" i="2"/>
  <c r="J109" i="2"/>
  <c r="K107" i="2"/>
  <c r="J106" i="2"/>
  <c r="K104" i="2"/>
  <c r="J100" i="2"/>
  <c r="K98" i="2"/>
  <c r="J103" i="2"/>
  <c r="K101" i="2"/>
  <c r="J97" i="2"/>
  <c r="K95" i="2"/>
  <c r="J93" i="2"/>
  <c r="K91" i="2"/>
  <c r="J90" i="2"/>
  <c r="K88" i="2"/>
  <c r="J87" i="2"/>
  <c r="K85" i="2"/>
  <c r="J84" i="2"/>
  <c r="K82" i="2"/>
  <c r="J78" i="2"/>
  <c r="K76" i="2"/>
  <c r="J28" i="2"/>
  <c r="K26" i="2"/>
  <c r="J81" i="2"/>
  <c r="K79" i="2"/>
  <c r="J75" i="2"/>
  <c r="K73" i="2"/>
  <c r="J72" i="2"/>
  <c r="K70" i="2"/>
  <c r="J69" i="2"/>
  <c r="K67" i="2"/>
  <c r="J66" i="2"/>
  <c r="K64" i="2"/>
  <c r="J63" i="2"/>
  <c r="K61" i="2"/>
  <c r="J60" i="2"/>
  <c r="K58" i="2"/>
  <c r="J56" i="2"/>
  <c r="K54" i="2"/>
  <c r="K48" i="2"/>
  <c r="J43" i="2"/>
  <c r="K42" i="2"/>
  <c r="L33" i="2"/>
  <c r="J30" i="2"/>
  <c r="J31" i="2"/>
  <c r="K29" i="2"/>
  <c r="J25" i="2"/>
  <c r="K23" i="2"/>
  <c r="J22" i="2"/>
  <c r="K20" i="2"/>
  <c r="J19" i="2"/>
  <c r="K17" i="2"/>
  <c r="J15" i="2"/>
  <c r="K13" i="2"/>
  <c r="J9" i="2"/>
  <c r="K7" i="2"/>
  <c r="J12" i="2"/>
  <c r="K10" i="2"/>
  <c r="L39" i="4"/>
  <c r="L7" i="4"/>
  <c r="L113" i="2"/>
  <c r="O113" i="2"/>
  <c r="L95" i="2"/>
  <c r="L17" i="2"/>
  <c r="L7" i="2"/>
  <c r="L58" i="2"/>
  <c r="L151" i="2"/>
  <c r="L17" i="4"/>
  <c r="N92" i="4"/>
  <c r="Q45" i="4"/>
  <c r="N170" i="3"/>
  <c r="Q86" i="3"/>
  <c r="N163" i="2"/>
  <c r="O39" i="4"/>
  <c r="O7" i="4"/>
  <c r="O151" i="2"/>
  <c r="O17" i="4"/>
  <c r="O95" i="2"/>
  <c r="O58" i="2"/>
  <c r="O17" i="2"/>
  <c r="O7" i="2"/>
  <c r="O33" i="2"/>
  <c r="L17" i="3"/>
  <c r="O17" i="3"/>
  <c r="L123" i="2"/>
  <c r="O123" i="2"/>
  <c r="P7" i="2"/>
  <c r="C7" i="5"/>
  <c r="D26" i="7"/>
  <c r="E7" i="5"/>
  <c r="C26" i="7"/>
  <c r="D7" i="5"/>
  <c r="L146" i="3" l="1"/>
  <c r="O146" i="3" s="1"/>
  <c r="L99" i="3"/>
  <c r="O99" i="3" s="1"/>
  <c r="L68" i="3"/>
  <c r="O68" i="3" s="1"/>
  <c r="L42" i="3"/>
  <c r="O42" i="3" s="1"/>
  <c r="L7" i="3"/>
  <c r="O7" i="3" s="1"/>
  <c r="L49" i="4"/>
  <c r="O49" i="4" s="1"/>
  <c r="P7" i="4" s="1"/>
  <c r="C9" i="5" s="1"/>
  <c r="D28" i="7" s="1"/>
  <c r="P7" i="3" l="1"/>
  <c r="C8" i="5" s="1"/>
  <c r="C10" i="5" s="1"/>
  <c r="D10" i="5" s="1"/>
  <c r="E9" i="5"/>
  <c r="C28" i="7" s="1"/>
  <c r="D9" i="5"/>
  <c r="E8" i="5" l="1"/>
  <c r="C27" i="7" s="1"/>
  <c r="E10" i="5"/>
  <c r="C29" i="7" s="1"/>
  <c r="D8" i="5"/>
  <c r="D29" i="7"/>
  <c r="D27" i="7"/>
  <c r="D5" i="7"/>
  <c r="E5" i="7" s="1"/>
</calcChain>
</file>

<file path=xl/sharedStrings.xml><?xml version="1.0" encoding="utf-8"?>
<sst xmlns="http://schemas.openxmlformats.org/spreadsheetml/2006/main" count="1148" uniqueCount="374">
  <si>
    <t>MATRIZ DE CALIDAD PARA EVALUAR LA CALIDAD EXTERNA DE PRODUCTOS SOFTWARE  EN EMPRESAS DE DESARROLLO DE SOFTWARE APLICANDO LA NORMA ISO/IEC 25000</t>
  </si>
  <si>
    <t>CARACTERISTICA</t>
  </si>
  <si>
    <t>SUBCARACTERISTICA</t>
  </si>
  <si>
    <t>METRICA</t>
  </si>
  <si>
    <t>FORMULA</t>
  </si>
  <si>
    <t>VALOR DESEADO (UMBRAL, etc)</t>
  </si>
  <si>
    <t>APLICA</t>
  </si>
  <si>
    <t>VALOR OBTENIDO (X)</t>
  </si>
  <si>
    <t>PONDERACIÓN (/10)</t>
  </si>
  <si>
    <t>VALOR PARCIAL TOTAL (/10)</t>
  </si>
  <si>
    <t>NIVEL DE IMPORTANCIA</t>
  </si>
  <si>
    <t>PORCENTAJE DE IMPORTANCIA</t>
  </si>
  <si>
    <t>VALOR FINAL</t>
  </si>
  <si>
    <t>CALIDAD DEL SISTEMA (/10)</t>
  </si>
  <si>
    <t>JUSTIFICACIÓN</t>
  </si>
  <si>
    <t>Adecuación funcional</t>
  </si>
  <si>
    <t>Completitud funcional</t>
  </si>
  <si>
    <t>Completitud de la implementación funcional</t>
  </si>
  <si>
    <t>X = A / B
A =  Número de funciones que están incorrectas o que no fueron implementadas 
B =  Número de las funciones establecidas en la especificación de requisitos
Dónde:
B &gt; 0</t>
  </si>
  <si>
    <t>Si</t>
  </si>
  <si>
    <t>A =</t>
  </si>
  <si>
    <t>A</t>
  </si>
  <si>
    <t>Exactitud funcional</t>
  </si>
  <si>
    <t>Precisión.</t>
  </si>
  <si>
    <t>B =</t>
  </si>
  <si>
    <t>Exactitud computacional.</t>
  </si>
  <si>
    <t>X =</t>
  </si>
  <si>
    <t>Exactitud</t>
  </si>
  <si>
    <t>X = A/B
A =  Número de elementos de datos implementados con el estándar especifico de exactitud
B =  Número total  de elementos de datos implementados
Dónde:
B &gt; 0</t>
  </si>
  <si>
    <t>No</t>
  </si>
  <si>
    <t>El calculo de la exactitud no tiene cabida debido a la sencillez y el tipo de programa.</t>
  </si>
  <si>
    <t>Presición computacional</t>
  </si>
  <si>
    <t>X = A/T
A = Numero de  de cálculos inexactos encontrados
T =  Tiempo de operación
Dónde:
T &gt; 0</t>
  </si>
  <si>
    <t>Deseado: 0/15min
Peor caso: &gt;=10/15min</t>
  </si>
  <si>
    <t>Los cálculos que realiza el sistema se limitan a operaciones matemáticas básicas y se puede confiar que los calculos son exactos en todos los casos.</t>
  </si>
  <si>
    <t>T =</t>
  </si>
  <si>
    <t>Fiabilidad</t>
  </si>
  <si>
    <t>Madurez</t>
  </si>
  <si>
    <t xml:space="preserve">Eliminacion de errores </t>
  </si>
  <si>
    <t>X = A/B
A =  Número de fallas corregidas en la fase de diseño/codificación/pruebas
B =  Número de fallas detectadas en las pruebas
Dónde:
B &gt; 0</t>
  </si>
  <si>
    <t>M</t>
  </si>
  <si>
    <t>Al ser un sistema que fue creado mediante la metodología de Prototipo, en cada entrega se iban corrigiendo los errores encontrados. La versión que estamos evaluando no presenta errores.</t>
  </si>
  <si>
    <t>Cobertura de pruebas</t>
  </si>
  <si>
    <t>X = A/B
A =  Número de casos de pruebas realizados en un escenario de operación durante la prueba
B =  Número de casos de prueba a ser realizados para cubrir los requerimientos
Dónde:
B &gt; 0</t>
  </si>
  <si>
    <t>Los casos de prueba fueron realizados antes de la entrega del sistema.</t>
  </si>
  <si>
    <t>Tiempo medio entre fallos</t>
  </si>
  <si>
    <t xml:space="preserve">X = A/T
A =  Número total de fallas detectadas actualmente 
T =   Tiempo de operación
Donde T &gt; 0
</t>
  </si>
  <si>
    <t>Al ser la versión final del sistema, pasó por muchas pruebas que hicieron de este software muy estable, con fallos mínimos y listos para funcionar</t>
  </si>
  <si>
    <t xml:space="preserve">X = </t>
  </si>
  <si>
    <t>Disponibilidad</t>
  </si>
  <si>
    <t>Tiempo de servicio</t>
  </si>
  <si>
    <t>X = A/B
A = Tiempo de servicio del sistema que se proporciona actualmente
B = Tiempo de servicio del sistema regulado en el cronograma operacional
Dónde:
B &gt; 0</t>
  </si>
  <si>
    <t>Las pruebas realizadas a este programa no se enfocaron a medir la disponibilidad de acuerdo a un tiempo esteablecido. No se puede usar esta métrica debido a esto.</t>
  </si>
  <si>
    <t>Tiempo medio de inactividad</t>
  </si>
  <si>
    <t xml:space="preserve">X = A/T
A = Número de fallos observados
T = Tiempo total de inactividad
Dónde:
T &gt; 0
</t>
  </si>
  <si>
    <t>Deseado: 0/min
Peor caso: &gt;=10/min</t>
  </si>
  <si>
    <t>Al ser un sistema simple no existe fallas de consideración que afecten el desempeño general del sistema. Todas las fallas fueron corregidas y si se presentara una, sería despreciable y no influiría en el sistema en general.</t>
  </si>
  <si>
    <t>Tolerancia a fallos</t>
  </si>
  <si>
    <t>Prevención de fallas</t>
  </si>
  <si>
    <t>X = A/B
A = Número de ocurrencia de fallas evitadas contra los casos de pruebas de fallas iniciales
B =  Número  de casos de pruebas de fallas iniciales ejecutados durante las pruebas
Dónde:
B &gt; 0</t>
  </si>
  <si>
    <t>El sistema fue mejorando con cada entrega siguiendo la metodología de Prototipo. Los errores encontrados a lo largo del desarrollo fueron corregidos y ya no están presentes dentro del sistema.</t>
  </si>
  <si>
    <t xml:space="preserve">Redundancia </t>
  </si>
  <si>
    <t>X = A / B
A= Número de componentes/sistemas instalados de forma redundante
B = Número total de componentes/sistemas instalados 
Dónde:
B &gt; 0</t>
  </si>
  <si>
    <t>Al ser un sistema con pocas tareas, las cuales gran parte de ellas son específicas, es poco probable la existencia de componentes redundantes y  en caso de que se presenten dichos componentes, estos serán despreciables.</t>
  </si>
  <si>
    <t>Capacidad de recuperación</t>
  </si>
  <si>
    <t>Tiempo medio de recuperación</t>
  </si>
  <si>
    <t>X = A / T
A = Número de casos en los cuales se ha observado que el sistema entró en  recuperación
T = Tiempo que le tomó al sistema en recuperarse 
Dónde:
T &gt; 0</t>
  </si>
  <si>
    <t>El sistema es simple y necesita pocos recursos para funcionar de manera eficiente por lo que no existe riesgo de que pueda "colgarse" o "caerse".</t>
  </si>
  <si>
    <t>Eficiencia en el desempeño</t>
  </si>
  <si>
    <t>Comportamiento del tiempo</t>
  </si>
  <si>
    <t>Tiempo de respuesta</t>
  </si>
  <si>
    <t>X = B - A
A= Tiempo de envío de petición
B = Tiempo en recibir la primera respuesta</t>
  </si>
  <si>
    <t>Deseado: 10 seg
Peor caso: &gt;10 seg</t>
  </si>
  <si>
    <t>Tiempo de espera</t>
  </si>
  <si>
    <t>X = B - A
A= Tiempo cuando se inicia un trabajo
B = Tiempo en completar el trabajo</t>
  </si>
  <si>
    <t>Deseado: 20 min
Peor caso: &gt;20 min</t>
  </si>
  <si>
    <t xml:space="preserve">Rendimiento </t>
  </si>
  <si>
    <t>X = A/T
A= Número de tareas completadas 
T = Intervalo de tiempo
Dónde:
T &gt; 0</t>
  </si>
  <si>
    <t>Deseado: &gt;=10/20min
Peor caso: 0/20min</t>
  </si>
  <si>
    <t>Utilización de recursos</t>
  </si>
  <si>
    <t>Utilización de CPU</t>
  </si>
  <si>
    <t>X = A
A=  Cantidad de CPU que es usado para realizar una tarea</t>
  </si>
  <si>
    <t>Deseado: 0 %
Peor caso: &gt;=10%</t>
  </si>
  <si>
    <t>Utilización de la memoria (Orientado EXTERNA)</t>
  </si>
  <si>
    <t>Utilización de la memoria</t>
  </si>
  <si>
    <t>X = A/B
A = Cantidad de memoria que es usado para realizar una tarea</t>
  </si>
  <si>
    <t>Deseado: 0%
Peor caso: &gt;=10%</t>
  </si>
  <si>
    <t>X=</t>
  </si>
  <si>
    <t xml:space="preserve">Utilización de los dispositivos de E/S  </t>
  </si>
  <si>
    <t>X = B-A
A = Tiempo que los dispositivos de E/S pasan ocupados para realizar la tarea 
B =  Tiempo de operación
Dónde:
B &gt; 0</t>
  </si>
  <si>
    <t>Deseado: 0 seg
Peor caso: &gt;= 15 seg</t>
  </si>
  <si>
    <t>Capacidad</t>
  </si>
  <si>
    <t xml:space="preserve">Numero de peticiones online (Max) </t>
  </si>
  <si>
    <t>X = A/T
A= Número máximo de peticiones online procesada
T = Tiempo de operación
Dónde:
T &gt; 0</t>
  </si>
  <si>
    <t>Deseado: &gt;=10/3min
Peor caso: 0/3min</t>
  </si>
  <si>
    <t>Es un sistema sin acceso a peticiones web  por lo cuál esta metrica no es necesaria</t>
  </si>
  <si>
    <t xml:space="preserve">Número de accesos simultaneos (Max) </t>
  </si>
  <si>
    <t>X = A/T
A= Número máximo de accesos simultáneos
T = Tiempo de operación
Dónde:
T &gt; 0</t>
  </si>
  <si>
    <t>Es un sistema sin accesos concurrentes por lo cuál esta metrica no es necesaria</t>
  </si>
  <si>
    <t>Sistema de transmisión de ancho de banda</t>
  </si>
  <si>
    <t>X = A/T
A= Cantidad máxima de transmisión de datos
T = Tiempo de operación
Dónde:
T &gt; 0</t>
  </si>
  <si>
    <t>Deseado: &gt;=10/min
Peor caso: 0/min</t>
  </si>
  <si>
    <t>Es un sistema de escritorio no dependiente del ancho de banda por lo cuál esta métrica no es necesaria</t>
  </si>
  <si>
    <t>Facilidad de uso</t>
  </si>
  <si>
    <t>Capacidad de reconocer su adecuación</t>
  </si>
  <si>
    <t>Integridad de descripción</t>
  </si>
  <si>
    <t>X = A/B
A =  Número de funciones (o tipos de funciones) descritas como entendibles en la descripción del producto
B =  Número total de funciones (o tipos de funciones)
Dónde:
B &gt; 0</t>
  </si>
  <si>
    <t>Capacidad de demostración</t>
  </si>
  <si>
    <t>X = A/B
A =  Número de funciones implementadas con capacidad de demostración 
B =   Número total de funciones que requieren capacidad de demostración
Dónde:
B &gt; 0</t>
  </si>
  <si>
    <t>Capacidad de ser entendido</t>
  </si>
  <si>
    <t>Efectividad de la documentación del usuario o ayuda del sistema</t>
  </si>
  <si>
    <t>X = A / B
A= Número de funciones descritas correctamente
B = Número  total de funciones implementadas
Dónde:
B &gt; 0</t>
  </si>
  <si>
    <t>Operatividad</t>
  </si>
  <si>
    <t>Claridad de mensajes</t>
  </si>
  <si>
    <t>X = A / B
A= Número de mensajes implementados con explicaciones claras
B = Número total de mensajes implementados
Dónde:
B &gt; 0</t>
  </si>
  <si>
    <t>Consistencia operacional</t>
  </si>
  <si>
    <t>X = A / B
A= Número de  de operaciones que se comportan de manera incoherente
B = Número total de operaciones que se comportan de forma normal
Dónde:
B &gt; 0</t>
  </si>
  <si>
    <t>Posibilidad de personalización</t>
  </si>
  <si>
    <t>X = A / B
A =  Número de funciones implementadas que pueden ser personalizados durante la operación
B =  Número de funciones que requieran la capacidad de personalización
Dónde:
B &gt; 0</t>
  </si>
  <si>
    <t>Protección contra errores del usuario</t>
  </si>
  <si>
    <t>Verificación de entradas válidas</t>
  </si>
  <si>
    <t>X = A/B
A= Número de elementos de entrada que son validados
B = Número de elementos que necesitan ser validados
Dónde:
B &gt; 0</t>
  </si>
  <si>
    <t>Prevención del uso incorrecto</t>
  </si>
  <si>
    <t>X = A/B
A =  Número operaciones iniciales incorrectas  
B = Número   de funciones implementadas para evitar fallos de funcionamiento provocados por un uso incorrecto
Dónde:
B &gt; 0</t>
  </si>
  <si>
    <t>Estética de la Interfaz del usuario</t>
  </si>
  <si>
    <t>Personalización de la apariencia de la interfaz del usuario</t>
  </si>
  <si>
    <t xml:space="preserve">X = A/B
A= Número de elementos de interfaz que pueden ser personalizados
B = Número  total de elementos de interfaz
Dónde:
B &gt; 0
</t>
  </si>
  <si>
    <t>Accesibilidad técnica</t>
  </si>
  <si>
    <t>Accesibilidad física</t>
  </si>
  <si>
    <t>X = A/B
A= Número de funciones a las que pueden acceder personas con discapacidad
B = Número  total de elementos de interfaz
Dónde:
B &gt; 0</t>
  </si>
  <si>
    <t>Seguridad</t>
  </si>
  <si>
    <t>Confidencialidad</t>
  </si>
  <si>
    <t>Capacidad de control de acceso</t>
  </si>
  <si>
    <t>X = A / B
A =  Número de diferentes tipos de operaciones ilegales detectados
B =  Número de tipos de operaciones ilegales en la especificación
Dónde:
B &gt; 0</t>
  </si>
  <si>
    <t>B</t>
  </si>
  <si>
    <t>Encriptación de datos</t>
  </si>
  <si>
    <t>X = A / B
A =  Número de elementos de datos  encriptados/desencriptados correctamente
B =  Número de  elementos de datos  que requiere encriptación/desencriptación
Dónde:
B &gt; 0</t>
  </si>
  <si>
    <t>Integridad</t>
  </si>
  <si>
    <t>Prevención de corrupción de datos</t>
  </si>
  <si>
    <t>X = A / B
A =  Número de casos de corrupción de datos ocurridos en la actualidad
B =  Número  de accesos donde se espera que ocurran daños de datos
Dónde:
B &gt; 0</t>
  </si>
  <si>
    <t xml:space="preserve">No repudio </t>
  </si>
  <si>
    <t>Utilización de firma digital</t>
  </si>
  <si>
    <t>X = A / B
A = Número de eventos procesados  usando firma digital
B =  Número de eventos que requieran la propiedad de no - repudio 
Dónde:
B &gt; 0</t>
  </si>
  <si>
    <t>El sistema no emite documentos electrónicos, se limita a generar reportes que serán impresos y en ese caso se utiliza una firma o sello de la empresa que utiliza el sistema.</t>
  </si>
  <si>
    <t xml:space="preserve">Responsabilidad </t>
  </si>
  <si>
    <t>Capacidad de auditoría de acceso</t>
  </si>
  <si>
    <t>X = A / B
A =  Número  de accesos al sistemas ocurridos en la realidad
B = Número de accesos al sistema registrados en el log del sistema
Dónde:
B &gt; 0</t>
  </si>
  <si>
    <t>El sistema está destinado y limitado a ser utilizado en un computador de escritorio. Esto limita dirige la total responsabilidad al dueño o titular del equipo sobre el cual el sistema está instalado.</t>
  </si>
  <si>
    <t>Autenticidad</t>
  </si>
  <si>
    <t>Métodos de autenticación</t>
  </si>
  <si>
    <t>X = A
A =  Número de métodos de autenticación  previstos</t>
  </si>
  <si>
    <t>Deseado: 3
Peor caso: 0</t>
  </si>
  <si>
    <t xml:space="preserve">El sistema está destinado y limitado a ser utilizado en un computador de escritorio. </t>
  </si>
  <si>
    <t>Compatibilidad</t>
  </si>
  <si>
    <t>Co - existencia</t>
  </si>
  <si>
    <t>Co – existencia disponible</t>
  </si>
  <si>
    <t>X = A/B
A =  Número de sistemas con las que el producto puede coexistir
B =  Número de sistemas con las que el producto requiere de coexistencia
Dónde:
B &gt; 0</t>
  </si>
  <si>
    <t>El sistema no requiere co-existencia. Esta metríca no es necesaria.</t>
  </si>
  <si>
    <t>Interoperatividad</t>
  </si>
  <si>
    <t>Conectividad con sistemas externos</t>
  </si>
  <si>
    <t>X = A/B
A= Número de interfaces implementadas con otros sistemas
B = Número total de interfaces externas
Dónde:
B &gt; 0</t>
  </si>
  <si>
    <t>El sistema solo presenta módulos de gestión interna, por esta razón no tiene ninguna conexión con otros sistemas.</t>
  </si>
  <si>
    <t>Capacidad de intercambiar de datos</t>
  </si>
  <si>
    <t>X = A/B
A= Número  de datos que se han intercambiado sin problemas con otro sistema
B =  Número total de datos que se intercambiaran  
Dónde:
B &gt; 0</t>
  </si>
  <si>
    <t>Al ser un sistema de gestión interna, no presenta un formato o un intercambio de datos con otros sistemas externos o incrustados.</t>
  </si>
  <si>
    <t>Mantenibilidad</t>
  </si>
  <si>
    <t xml:space="preserve">Capacidad de ser analizado </t>
  </si>
  <si>
    <t>Capacidad de pistas de auditoría</t>
  </si>
  <si>
    <t>X = A / B
A =  Número de datos realmente grabadas durante la operación
B =  Número de datos previstos a grabarse para controlar el estado del sistema durante la operación
Dónde:
B &gt; 0</t>
  </si>
  <si>
    <t>La versión del sistema a ser analizada tiene todas las correciones pertinentes para que funcione sin problemas y sea sujeta a todo tipo de pruebas.</t>
  </si>
  <si>
    <t>Diagnóstico de funciones suficientes</t>
  </si>
  <si>
    <t>X = A/B
A =  Número de funciones de diagnóstico implementadas
B =  Número de funciones de  diagnóstico requeridas en la especificación de requerimientos
Dónde:
B &gt; 0</t>
  </si>
  <si>
    <t>El sistema no fue provisto de funciones de prueba o funciones para el diágnostico del sisteama. El único propósito del sistema fue la de satisfacer los requisitos del usuario.</t>
  </si>
  <si>
    <t>Capacidad de ser modificado</t>
  </si>
  <si>
    <t>Grado de localización de corrección de impacto</t>
  </si>
  <si>
    <t>X = A/B
A = Número  de fallas aparecidas después que se ha resuelto un fallo
B =  Número de fallas resueltas
Dónde:
B &gt; 0</t>
  </si>
  <si>
    <t>Al ser un sistema que no fue pensado para una fase de mantenimiento posterior a su entrega, no se puede hacer uso de esta métrica.</t>
  </si>
  <si>
    <t>Complejidad de modificación</t>
  </si>
  <si>
    <t>X = A/T
A = Número de modificaciones 
B = Tiempo de trabajo que le toma al desarrollador modificar
Dónde:
T &gt; 0</t>
  </si>
  <si>
    <t>Deseado: &gt;=1/60min
Peor caso: 0/60min</t>
  </si>
  <si>
    <t>Al poseer toda la documentación necesaria del sistema, y al ser el sistema a evaluar un sistema simple, no se puede hacer uso de esta métrica para evaluar su calidad</t>
  </si>
  <si>
    <t>Índice de éxito de modificación</t>
  </si>
  <si>
    <t>X = A/B
A = Número de problemas dentro de un determinado período antes de mantenimiento B = Número de problemas en el mismo período después del mantenimiento
Dónde:
B &gt; 0</t>
  </si>
  <si>
    <t>Como el sistema pasó por todas las pruebas y mejoró en cada avance que se hacía, no se planteó la posibilidad de modificarlo. Por esta razón esta métrica no aplica.</t>
  </si>
  <si>
    <t xml:space="preserve">Capacidad de ser probado </t>
  </si>
  <si>
    <t xml:space="preserve">Capacidad de reinicio de pruebas  </t>
  </si>
  <si>
    <t>X = A/B
A = Número de casos en los cuales el mantenedor puede pausar y restaurar las pruebas
B = Número de casos de pausa en la ejecución de pruebas
Dónde:
B &gt; 0</t>
  </si>
  <si>
    <t>El software a ser evaluado se pensó solo para satisfacer requisitos y seguir los lineamientos de la metodología Prototipo. No se enfocó en realizar un desarrollo basado en pruebas.</t>
  </si>
  <si>
    <t>Portabilidad</t>
  </si>
  <si>
    <t>Adaptabilidad</t>
  </si>
  <si>
    <t>Adaptabilidad en entorno hardware</t>
  </si>
  <si>
    <t>X = A/B
A =  Número funciones operativas de las tareas que no se hayan completado durante las pruebas operativas con el entorno hardware
B =  Número total de funciones que han sido probadas  
Dónde:
B &gt; 0</t>
  </si>
  <si>
    <t>NA</t>
  </si>
  <si>
    <t>La cantidad de recursos que utiliza el sistema es minima por lo cual no tiene ni tendrá ningún tipo de inconveniente con el Hardware de la empresa.</t>
  </si>
  <si>
    <t>Adaptabilidad en entorno de software</t>
  </si>
  <si>
    <t xml:space="preserve">X = A/B
A =  Número de funciones operativas de las tareas que no se hayan completado durante las pruebas operativas con el sistema
B =  Número total de funciones que han sido probadas 
Dónde:
B &gt; 0 </t>
  </si>
  <si>
    <t>El sistema es independiente y no necesita de otro software fuera de los especificados.</t>
  </si>
  <si>
    <t>Adaptabilidad en entorno empresarial</t>
  </si>
  <si>
    <t>X = A/B
A =  Número de funciones operativas de las tareas que no se hayan completado durante las pruebas operativas con usuarios del entorno empresarial
B =  Número total de funciones que han sido probadas  
Dónde:
B &gt; 0</t>
  </si>
  <si>
    <t>Las pruebas se realizaron internamente entre los desarrolladores y también frente a los Interesados. Tras la aprobación por parte de los interesados se concluyó que el sistema trabajará de manera eficiente en el entorno empresarial para el cual fue desarrollado.</t>
  </si>
  <si>
    <t>Capacidad de ser Instalado</t>
  </si>
  <si>
    <t>Eficiencia en el tiempo de instalación</t>
  </si>
  <si>
    <t>X = A/T
A =  Número de reintentos al instalar el sistema
T =  Tiempo total transcurrido al instalar el sistema
Dónde:
T &gt; 0</t>
  </si>
  <si>
    <t>Facilidad de instalación</t>
  </si>
  <si>
    <t>X = A/B
A =  Número casos en que los usuarios tuvieron éxito al instalar el sistema cambiando proceso de instalación para su conveniencia
B =  Número total de casos en que los usuarios han intentado cambiar el proceso de instalación para su conveniencia
Dónde:
B &gt; 0</t>
  </si>
  <si>
    <t>Capacidad de ser Reemplazado</t>
  </si>
  <si>
    <t>Consistencia en la función de soporte al usuario</t>
  </si>
  <si>
    <t>X = A/B
A =  Número de nuevas funciones que son consideradas como no consistentes por el usuario
B =  Número de nuevas funciones  
Dónde:
B &gt; 0</t>
  </si>
  <si>
    <t>El sistema fue desarrollado en programas propietarios, por esta razón se puede agregar nuevas funciones o módulos que el dueño del producto lo requiera. No se puede hablar de inconsistencia en este caso.</t>
  </si>
  <si>
    <t>Inclusividad funcional</t>
  </si>
  <si>
    <t>X = A/B
A =  Número de funciones que producen resultados similares con anterioridad y que no se han exigido cambios
B =  Número de funciones probadas que son similares a las funciones proporcionadas por otro software para ser reemplazado
Dónde:
B &gt; 0</t>
  </si>
  <si>
    <t>Al ser un sistema realizado mediante la metodología Prototipo, no se puede hablar de versiones anteriores. Dichas versiones, o presentan errores, o solo ofrecen una funcionalidad limitada.</t>
  </si>
  <si>
    <t>Uso continuo de datos</t>
  </si>
  <si>
    <t>X = A/B
A =  número de datos que son continuamente solo utilizables por el software a ser reemplazado
B =  Número de datos que son reutilizables por el software a ser reemplazado
Dónde:
B &gt; 0</t>
  </si>
  <si>
    <t>MATRIZ DE CALIDAD PARA EVALUAR LA CALIDAD INTERNA DE PRODUCTOS SOFTWARE  EN EMPRESAS DE DESARROLLO DE SOFTWARE APLICANDO LA NORMA ISO/IEC 25000</t>
  </si>
  <si>
    <t>PONDERACION (/10)</t>
  </si>
  <si>
    <t>X = A/T
A = Numero de cálculos inexactos encontrados
T =  Tiempo de operación
Dónde:
T &gt; 0</t>
  </si>
  <si>
    <t>Al ser un sistema con pocas tareas, las cuales gran parte de ellas son específicas, es poco probable la existencia de componentes redundantes y  en caso de que se presenten dichos componentes, estos serán despreciables.</t>
  </si>
  <si>
    <t>Anulacion de operación incorrecta</t>
  </si>
  <si>
    <t>X = A / B
A= Número de operaciones incorrectas presentadas
B = Número total de funciones implementadas para anular operaciones incorrectas
Dónde:
B &gt; 0</t>
  </si>
  <si>
    <t xml:space="preserve">El propósito del sistema es brindar facturación, este también cuenta con la opción de eliminar o dar de baja a los documentos impresos. Debido a esta función se tiene controlada esta caracterísitca y no se considera practico evaluarla. </t>
  </si>
  <si>
    <t>Deseado: 15 seg
Peor caso: &gt;15 seg</t>
  </si>
  <si>
    <t>Líneas de codigo</t>
  </si>
  <si>
    <t>X = A
A = Número de líneas de código</t>
  </si>
  <si>
    <t>Deseado: 1
Peor caso: &gt;=50</t>
  </si>
  <si>
    <t>X = B-A
A = Tiempo que los dispositivos de E/S pasan ocupados en realizar una tarea 
B =  Tiempo de operación
Dónde:
B &gt; 0</t>
  </si>
  <si>
    <t>Funciones evidentes</t>
  </si>
  <si>
    <t>X = A/B
A= Número de funciones (o tipo de funciones) evidentes al usuario
B = Número total de funciones (o tipo de funciones)
Dónde:
B &gt; 0</t>
  </si>
  <si>
    <t>X = A/B
A= Número de funciones descritas correctamente
B = Número  total de funciones implementadas
Dónde:
B &gt; 0</t>
  </si>
  <si>
    <t>Recuperabilidad de error operacional</t>
  </si>
  <si>
    <t>X = A / B
A= Número de funciones implementadas con tolerancia de error de usuarios
B = Número total de funciones requeridas con capacidad de tolerancia
Dónde:
B &gt; 0</t>
  </si>
  <si>
    <t>X = A/B
A= Número de mensajes implementados con explicaciones claras
B = Número total de mensajes implementados
Dónde:
B &gt; 0</t>
  </si>
  <si>
    <t>X = A/B
A= Número de  de operaciones que se comportan de manera incoherente
B = Número total de operaciones que se comportan de forma normal
Dónde:
B &gt; 0</t>
  </si>
  <si>
    <t>X = A/B
A =  Número de funciones implementadas que pueden ser personalizados durante la operación
B =  Número de funciones que requieran la capacidad de personalización
Dónde:
B &gt; 0</t>
  </si>
  <si>
    <t>X = A/B
A =  Número operaciones iniciales incorrectas  
B = Número de funciones implementadas para evitar fallos de funcionamiento provocados por un uso incorrecto
Dónde:
B &gt; 0</t>
  </si>
  <si>
    <t>X = A/B
A= Número de funciones a las que pueden acceder personas con discapacidad
B = Número  total de elementos de interfaz
Dónde:
B &gt; 0</t>
  </si>
  <si>
    <t xml:space="preserve">Modularidad </t>
  </si>
  <si>
    <t>Capacidad de condensación</t>
  </si>
  <si>
    <t>X = A / B
A =  Número de sistemas que no son afectados por cambios en el sistema
B =  Número total de sistemas específicos
Dónde:
B &gt; 0</t>
  </si>
  <si>
    <t xml:space="preserve">Acoplamiento de clases </t>
  </si>
  <si>
    <t>X = A
A  =  Número de relaciones que tiene una función con respecto a otras clases</t>
  </si>
  <si>
    <t>Deseado: 1
Peor caso: &gt;=4</t>
  </si>
  <si>
    <t>Reusabilidad</t>
  </si>
  <si>
    <t xml:space="preserve">Ejecución de reusabilidad </t>
  </si>
  <si>
    <t>X = A / B
A =  Número de elementos reutilizados
B =  Número total de elementos de la biblioteca reutilizable
Dónde:
B &gt; 0</t>
  </si>
  <si>
    <t>X = A / B
A =  Número de datos grabadas durante la operación
B =  Número de datos previstos a grabarse para controlar el estado del sistema durante la operación
Dónde:
B &gt; 0</t>
  </si>
  <si>
    <t xml:space="preserve">Complejidad ciclomática </t>
  </si>
  <si>
    <t xml:space="preserve">X = A+1
A = Numero de instrucciones condicionales que tiene una función </t>
  </si>
  <si>
    <t>Deseado: 1
Peor caso: &gt;=15</t>
  </si>
  <si>
    <t>El sistema no está sujeto a condiciones climáticas para funcionar eficientemente.</t>
  </si>
  <si>
    <t xml:space="preserve">Profundidad de herencia </t>
  </si>
  <si>
    <t>X = A
A = Número de jerarquías empleadas para una determinada función</t>
  </si>
  <si>
    <t>Deseado: 0
Peor caso: &gt;= 4</t>
  </si>
  <si>
    <t>Al ser un sistema simple y con pocas entidades, la profundidad de herencia es despreciable.</t>
  </si>
  <si>
    <t>Capacidad de ser probado</t>
  </si>
  <si>
    <t>Completitud funcional de funciones de pruebas</t>
  </si>
  <si>
    <t>X = A/B
A = Número  de funciones de prueba implementadas 
B = Número de funciones de prueba requeridas
Dónde:
B &gt; 0</t>
  </si>
  <si>
    <t>No se especificaron funciones de prueba para este sistema.</t>
  </si>
  <si>
    <t>Capacidad de prueba autónoma</t>
  </si>
  <si>
    <t>X = A/B
A = Número de pruebas que están dependiendo de otros sistemas
B = Número total de pruebas dependientes con otros sistemas
Dónde:
B &gt; 0</t>
  </si>
  <si>
    <t>No existen pruebas dependientes de otros sistemas.</t>
  </si>
  <si>
    <t>No se planea integrar nuevas funciones al sistema. Por lo que esta metríca no es necesaria.</t>
  </si>
  <si>
    <t>MATRIZ DE CALIDAD PARA EVALUAR LA CALIDAD EN USO DE PRODUCTOS SOFTWARE  EN EMPRESAS DE DESARROLLO DE SOFTWARE APLICANDO LA NORMA ISO/IEC 25000</t>
  </si>
  <si>
    <t>JUSTIFICACION</t>
  </si>
  <si>
    <t>Efectividad</t>
  </si>
  <si>
    <t>Completitud de la tarea</t>
  </si>
  <si>
    <t>X = A/B
A=   Número  de tareas completadas
B = Número total de tareas intentadas
Dónde:
B &gt; 0</t>
  </si>
  <si>
    <t xml:space="preserve">Efectividad de la tarea </t>
  </si>
  <si>
    <t>X = A/B 
A= Cantidad de objetivos completados por la tarea
B = Cantidad de objetivos planteados por la tarea</t>
  </si>
  <si>
    <t>Frecuencia de error</t>
  </si>
  <si>
    <t>X = A/B
A =  Número de errores cometidos por los usuarios
B =  Número de tareas
Dónde:
B &gt; 0</t>
  </si>
  <si>
    <t>Eficiencia</t>
  </si>
  <si>
    <t>Tiempo de la tarea</t>
  </si>
  <si>
    <t>X = A/B
A=Tiempo planeado (min)
B=Tiempo actual (min)
Dónde:
B &gt; 0</t>
  </si>
  <si>
    <t xml:space="preserve">Tiempo relativo de la tarea </t>
  </si>
  <si>
    <t>X = A/B
A = Tiempo que completa una tarea un usuario experto (seg)
B = Tiempo que completa una tarea un usuario normal (seg)
Dónde:
B &gt; 0</t>
  </si>
  <si>
    <t xml:space="preserve">Eficiencia de la tarea
</t>
  </si>
  <si>
    <t>X = A/T
A = Número de tareas efectivas
T = Tiempo de la tarea
Dónde:
T &gt; 0</t>
  </si>
  <si>
    <t>Deseado: &gt;=10/15min
Peor caso: 0/15min</t>
  </si>
  <si>
    <t>Eficiencia relativa de la tarea</t>
  </si>
  <si>
    <t>X = A/B
A = Número de tareas eficientes realizadas por un usuario ordinario
B = Número de tareas eficientes planeadas
Dónde:
B &gt; 0</t>
  </si>
  <si>
    <t>Productividad económica</t>
  </si>
  <si>
    <t>X = A/B
A = Número de tareas efectivas
B = Número total de las tareas
Dónde:
B &gt; 0</t>
  </si>
  <si>
    <t>Porcentaje productivo</t>
  </si>
  <si>
    <t>X = A/B
A = Tiempo de la tarea
B =  Tiempo de productividad
Dónde:
B &gt; 0</t>
  </si>
  <si>
    <t>Numero relativo de acciones del usuario</t>
  </si>
  <si>
    <t>X = A/B
A =  Número de acciones realizadas por los usuarios 
B =  Número de acciones necesarias actualmente
Dónde:
B &gt; 0</t>
  </si>
  <si>
    <t>Satisfacción</t>
  </si>
  <si>
    <t>Utilidad</t>
  </si>
  <si>
    <t>Nivel de satisfacción</t>
  </si>
  <si>
    <t>X = A/B
A=    Numero de preguntas con respuesta satisfactorias 
B = Número total de preguntas realizadas en el cuestionario
Dónde:
B &gt; 0</t>
  </si>
  <si>
    <t>Uso discrecional de las funciones del sistema</t>
  </si>
  <si>
    <t>X = A/B
A=  Número de veces que se utilizan las funciones/sistemas del software 
B=  Número de veces que están destinados a ser usados
Dónde: 
B &gt; 0</t>
  </si>
  <si>
    <t>Porcentaje de quejas de los clientes</t>
  </si>
  <si>
    <t>X = A/B
A =  Número de clientes que se quejan
B =  Número total de clientes
Dónde: 
B &gt; 0</t>
  </si>
  <si>
    <t>Libertad de Riesgo</t>
  </si>
  <si>
    <t>Financiera</t>
  </si>
  <si>
    <t>Retorno de la Inversión (ROI)</t>
  </si>
  <si>
    <t>X = A/B
A = Beneficios obtenidos
B = Beneficios esperados
Dónde:
B &gt; 0</t>
  </si>
  <si>
    <t>No se encuentra planificado dentro las pruebas tomar en consideración los beneficios económicos obtenidos por le uso del software</t>
  </si>
  <si>
    <t>Tiempo para lograr el retorno de la inversión</t>
  </si>
  <si>
    <t>X = A/B
A = Tiempo real para lograr el ROI
B = Tiempo aceptable para lograr el ROI
Dónde:
B &gt; 0</t>
  </si>
  <si>
    <t>Rendimiento relativo de negocios</t>
  </si>
  <si>
    <t>X = B/A
A = Monto de inversión de TI o las ventas planeadas  de la empresa para la comparación
B = Monto de la inversión de TI o de las ventas de la empresa
Dónde: 
A &gt; 0</t>
  </si>
  <si>
    <t>Balanced Score Card</t>
  </si>
  <si>
    <t>X = A/B
A = Resultado del BSC
B = BSC planeado
Dónde: 
B &gt; 0</t>
  </si>
  <si>
    <t>No se ha planificado un estudio del impacto del producto software en BSC de la empresa.</t>
  </si>
  <si>
    <t>Tiempo de entrega</t>
  </si>
  <si>
    <t>X = A/B
A = Tiempo de entrega planeado o  retrasos en las entregas
B = Tiempo de entrega actual o retrasos en las entregas
Dónde: 
B &gt; 0</t>
  </si>
  <si>
    <t>Al ser un estudio de calidad, no se pretende crear nuevos productos a partir del software.</t>
  </si>
  <si>
    <t>Ganancias para cada cliente</t>
  </si>
  <si>
    <t>X = A/B
A = Ingresos reales de un cliente
B = Ingresos planeados de un cliente
Dónde: 
B &gt; 0</t>
  </si>
  <si>
    <t>Al ser un software solamente utilizado por el personal de la empresa, no interactúa de manera económica con los clientes.</t>
  </si>
  <si>
    <t xml:space="preserve">Errores con consecuencias económicas </t>
  </si>
  <si>
    <t>X = A/B
A = Número de errores con consecuencias económicas
B = Número total de situaciones de uso
Dónde: 
B &gt; 0</t>
  </si>
  <si>
    <t>Corrupción del software</t>
  </si>
  <si>
    <t>X = A/B
A = Número  de ocurrencias de corrupción del software  
B = Número total de situaciones de uso
Dónde: 
B &gt; 0</t>
  </si>
  <si>
    <t>Porque al ser una empresa pequeña la seguridad del software no se va a encontrar vulnerada</t>
  </si>
  <si>
    <t>Salud y Seguridad</t>
  </si>
  <si>
    <t>Frecuencia de problemas en la salud y seguridad del usuario</t>
  </si>
  <si>
    <t>X = A/B
A = Número de usuarios que notificaron problemas de salud
B = Número total de usuarios
Dónde: 
B &gt; 0</t>
  </si>
  <si>
    <t>El software no hace ninguna influiencia dañina dentro de la salud del usuario</t>
  </si>
  <si>
    <t>Impacto en la salud y seguridad del usuario</t>
  </si>
  <si>
    <t>X = A/T
A =  Número de personas afectadas
T = Tiempo
Dónde: 
T&gt; 0</t>
  </si>
  <si>
    <t>Deseado: 0/12 meses
Peor caso: &gt;=5/12 meses</t>
  </si>
  <si>
    <t>El software no produce un impacto de alto riesgoen la salud del usuario por hacer uso del mismo</t>
  </si>
  <si>
    <t>Seguridad de las personas afectadas por el uso del sistema</t>
  </si>
  <si>
    <t>X = A/B
A = Número  de personas puestas en peligro
B = Número total de personas potencialmente afectadas por el sistema
Dónde: 
B &gt; 0</t>
  </si>
  <si>
    <t>La vida de las personas no se encuentra comprometida por el uso del software</t>
  </si>
  <si>
    <t>Ambiental</t>
  </si>
  <si>
    <t>Impacto Ambiental</t>
  </si>
  <si>
    <t xml:space="preserve">X = A/B
A = Impacto ambiental aceptable
B = Impacto ambiental real
Dónde: 
B &gt; 0
</t>
  </si>
  <si>
    <t>El software no interactúa de manera significativa para causar impacto ambiental</t>
  </si>
  <si>
    <t>Cobertura de contexto</t>
  </si>
  <si>
    <t>Completitud de Contexto</t>
  </si>
  <si>
    <t>X = A/B
A=  Número de distintos contextos de uso inacaptables
B =   Número total de distintos contextos de uso
Dónde:
B &gt; 0</t>
  </si>
  <si>
    <t xml:space="preserve">El software realiza tareas específicas, por lo tanto esta ligado a un solo contexto. </t>
  </si>
  <si>
    <t>Flexibilidad</t>
  </si>
  <si>
    <t>Función flexible del diseño</t>
  </si>
  <si>
    <t>X = A/B
A= Número de características diseñadas con completa flexibilidad
B =  Número total de  características de diseño
Dónde:
B &gt; 0</t>
  </si>
  <si>
    <t>RESULTADO FINAL DEL ANÁLISIS DE CALIDAD DE PRODUCTOS SOFTWARE EN EMPRESAS DE DESARROLLO DE SOFTWARE APLICANDO LA NORMA ISO/IEC 25000</t>
  </si>
  <si>
    <t>CALIDAD</t>
  </si>
  <si>
    <t>CALIDAD DEL SISTEMA</t>
  </si>
  <si>
    <t>NIVEL DE PUNTUACIÓN</t>
  </si>
  <si>
    <t>GRADO DE SATISFACCIÓN</t>
  </si>
  <si>
    <t>Interna</t>
  </si>
  <si>
    <t>Externa</t>
  </si>
  <si>
    <t>Uso</t>
  </si>
  <si>
    <t>Total</t>
  </si>
  <si>
    <t>Seleccionar</t>
  </si>
  <si>
    <t>CALIDAD TOTAL OBTENIDO DEL SISTEMA LOGINOTIFICADOR</t>
  </si>
  <si>
    <t>Calidad Obtenida</t>
  </si>
  <si>
    <t>Calidad Faltante</t>
  </si>
  <si>
    <t>CALIDAD INTERNA, EXTERNA Y EN USO OBTENIDO DEL SISTEMA LOGINOTIFICADOR</t>
  </si>
  <si>
    <t>Calidad</t>
  </si>
  <si>
    <t>Grado de Satisfacción</t>
  </si>
  <si>
    <t>Calidad obtenida</t>
  </si>
  <si>
    <t>Calidad Interna</t>
  </si>
  <si>
    <t>Calidad Externa</t>
  </si>
  <si>
    <t>Calidad en Uso</t>
  </si>
  <si>
    <t>Calidad Total</t>
  </si>
  <si>
    <t xml:space="preserve">VALOR TOTAL OBTENIDO DE CADA CARACTERÍSTICAS DE CALIDAD </t>
  </si>
  <si>
    <t>CALIDAD INTERNA</t>
  </si>
  <si>
    <t>Características</t>
  </si>
  <si>
    <t>Valor Parcial Total (/10)</t>
  </si>
  <si>
    <t>Nivel de importancia</t>
  </si>
  <si>
    <t>Porcentaje de Importancia</t>
  </si>
  <si>
    <t>Valor Final</t>
  </si>
  <si>
    <t>Subtotal de la Calidad del Sistema (/10)</t>
  </si>
  <si>
    <t>Calidad Total del Sistema (/10)</t>
  </si>
  <si>
    <t>Valor obtenido</t>
  </si>
  <si>
    <t>CALIDAD EXTERNA</t>
  </si>
  <si>
    <t>CALIDAD EN USO</t>
  </si>
  <si>
    <t>Cobertura de Contexto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</si>
</sst>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quot;$&quot;\ #,##0.00"/>
  </numFmts>
  <fonts count="26" x14ac:knownFonts="1">
    <font>
      <sz val="11"/>
      <color theme="1"/>
      <name val="Calibri"/>
      <family val="2"/>
      <scheme val="minor"/>
    </font>
    <font>
      <sz val="11"/>
      <color theme="1"/>
      <name val="Verdana"/>
      <family val="2"/>
    </font>
    <font>
      <b/>
      <sz val="11"/>
      <color theme="1"/>
      <name val="Verdana"/>
      <family val="2"/>
    </font>
    <font>
      <b/>
      <sz val="10"/>
      <color theme="1"/>
      <name val="Verdana"/>
      <family val="2"/>
    </font>
    <font>
      <sz val="10"/>
      <color theme="1"/>
      <name val="Verdana"/>
      <family val="2"/>
    </font>
    <font>
      <sz val="10"/>
      <color rgb="FFFF0000"/>
      <name val="Verdana"/>
      <family val="2"/>
    </font>
    <font>
      <sz val="12"/>
      <color theme="1"/>
      <name val="Arial"/>
      <family val="2"/>
    </font>
    <font>
      <b/>
      <sz val="11"/>
      <color theme="8"/>
      <name val="Verdana"/>
      <family val="2"/>
    </font>
    <font>
      <b/>
      <sz val="14"/>
      <color theme="8"/>
      <name val="Verdana"/>
      <family val="2"/>
    </font>
    <font>
      <sz val="11"/>
      <color theme="1"/>
      <name val="Calibri"/>
      <family val="2"/>
      <scheme val="minor"/>
    </font>
    <font>
      <b/>
      <sz val="12"/>
      <color rgb="FFFF0000"/>
      <name val="Verdana"/>
      <family val="2"/>
    </font>
    <font>
      <b/>
      <sz val="16"/>
      <color theme="1"/>
      <name val="Verdana"/>
      <family val="2"/>
    </font>
    <font>
      <sz val="15"/>
      <color rgb="FFFF0000"/>
      <name val="Verdana"/>
      <family val="2"/>
    </font>
    <font>
      <sz val="11"/>
      <color rgb="FFFF0000"/>
      <name val="Verdana"/>
      <family val="2"/>
    </font>
    <font>
      <b/>
      <sz val="28"/>
      <color theme="1"/>
      <name val="Verdana"/>
      <family val="2"/>
    </font>
    <font>
      <sz val="11"/>
      <color rgb="FFC00000"/>
      <name val="Verdana"/>
      <family val="2"/>
    </font>
    <font>
      <b/>
      <sz val="11"/>
      <color theme="1"/>
      <name val="Calibri"/>
      <family val="2"/>
      <scheme val="minor"/>
    </font>
    <font>
      <sz val="11"/>
      <color theme="1"/>
      <name val="Arial"/>
      <family val="2"/>
    </font>
    <font>
      <b/>
      <sz val="13"/>
      <color rgb="FFFFFFFF"/>
      <name val="Arial"/>
      <family val="2"/>
    </font>
    <font>
      <sz val="10"/>
      <color theme="1"/>
      <name val="Arial"/>
      <family val="2"/>
    </font>
    <font>
      <b/>
      <sz val="11"/>
      <color rgb="FF1F497D"/>
      <name val="Arial"/>
      <family val="2"/>
    </font>
    <font>
      <b/>
      <sz val="14"/>
      <color theme="1"/>
      <name val="Arial"/>
      <family val="2"/>
    </font>
    <font>
      <b/>
      <sz val="11"/>
      <color theme="1"/>
      <name val="Verdana"/>
    </font>
    <font>
      <b/>
      <sz val="28"/>
      <color theme="1"/>
      <name val="Verdana"/>
    </font>
    <font>
      <sz val="11"/>
      <color theme="1"/>
      <name val="Verdana"/>
    </font>
    <font>
      <sz val="10"/>
      <color theme="1"/>
      <name val="Verdana"/>
    </font>
  </fonts>
  <fills count="9">
    <fill>
      <patternFill patternType="none"/>
    </fill>
    <fill>
      <patternFill patternType="gray125"/>
    </fill>
    <fill>
      <patternFill patternType="solid">
        <fgColor rgb="FFC6D9F1"/>
        <bgColor indexed="64"/>
      </patternFill>
    </fill>
    <fill>
      <patternFill patternType="solid">
        <fgColor theme="0"/>
        <bgColor indexed="64"/>
      </patternFill>
    </fill>
    <fill>
      <patternFill patternType="solid">
        <fgColor theme="4" tint="0.79998168889431442"/>
        <bgColor indexed="64"/>
      </patternFill>
    </fill>
    <fill>
      <patternFill patternType="solid">
        <fgColor rgb="FF4F81BD"/>
        <bgColor indexed="64"/>
      </patternFill>
    </fill>
    <fill>
      <patternFill patternType="solid">
        <fgColor theme="8" tint="0.39997558519241921"/>
        <bgColor indexed="64"/>
      </patternFill>
    </fill>
    <fill>
      <patternFill patternType="solid">
        <fgColor theme="5" tint="0.59999389629810485"/>
        <bgColor indexed="64"/>
      </patternFill>
    </fill>
    <fill>
      <patternFill patternType="solid">
        <fgColor theme="8" tint="0.59999389629810485"/>
        <bgColor indexed="64"/>
      </patternFill>
    </fill>
  </fills>
  <borders count="54">
    <border>
      <left/>
      <right/>
      <top/>
      <bottom/>
      <diagonal/>
    </border>
    <border>
      <left style="medium">
        <color theme="8"/>
      </left>
      <right style="medium">
        <color theme="8"/>
      </right>
      <top style="medium">
        <color theme="8"/>
      </top>
      <bottom style="medium">
        <color theme="8"/>
      </bottom>
      <diagonal/>
    </border>
    <border>
      <left style="medium">
        <color theme="8"/>
      </left>
      <right/>
      <top style="medium">
        <color theme="8"/>
      </top>
      <bottom style="medium">
        <color theme="8"/>
      </bottom>
      <diagonal/>
    </border>
    <border>
      <left/>
      <right/>
      <top style="medium">
        <color theme="8"/>
      </top>
      <bottom style="medium">
        <color theme="8"/>
      </bottom>
      <diagonal/>
    </border>
    <border>
      <left style="medium">
        <color theme="8"/>
      </left>
      <right style="medium">
        <color theme="8"/>
      </right>
      <top style="medium">
        <color theme="8"/>
      </top>
      <bottom/>
      <diagonal/>
    </border>
    <border>
      <left style="medium">
        <color theme="8"/>
      </left>
      <right style="medium">
        <color theme="8"/>
      </right>
      <top/>
      <bottom/>
      <diagonal/>
    </border>
    <border>
      <left style="medium">
        <color theme="8"/>
      </left>
      <right style="medium">
        <color theme="8"/>
      </right>
      <top/>
      <bottom style="medium">
        <color theme="8"/>
      </bottom>
      <diagonal/>
    </border>
    <border>
      <left style="medium">
        <color theme="8"/>
      </left>
      <right/>
      <top style="medium">
        <color theme="8"/>
      </top>
      <bottom/>
      <diagonal/>
    </border>
    <border>
      <left/>
      <right style="medium">
        <color theme="8"/>
      </right>
      <top style="medium">
        <color theme="8"/>
      </top>
      <bottom/>
      <diagonal/>
    </border>
    <border>
      <left style="medium">
        <color theme="8"/>
      </left>
      <right/>
      <top/>
      <bottom/>
      <diagonal/>
    </border>
    <border>
      <left/>
      <right style="medium">
        <color theme="8"/>
      </right>
      <top/>
      <bottom/>
      <diagonal/>
    </border>
    <border>
      <left style="medium">
        <color theme="8"/>
      </left>
      <right/>
      <top/>
      <bottom style="medium">
        <color theme="8"/>
      </bottom>
      <diagonal/>
    </border>
    <border>
      <left/>
      <right style="medium">
        <color theme="8"/>
      </right>
      <top/>
      <bottom style="medium">
        <color theme="8"/>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rgb="FF4F81BD"/>
      </left>
      <right style="medium">
        <color rgb="FF4F81BD"/>
      </right>
      <top style="medium">
        <color rgb="FF4F81BD"/>
      </top>
      <bottom style="medium">
        <color rgb="FF4F81BD"/>
      </bottom>
      <diagonal/>
    </border>
    <border>
      <left/>
      <right style="medium">
        <color rgb="FF4F81BD"/>
      </right>
      <top style="medium">
        <color rgb="FF4F81BD"/>
      </top>
      <bottom style="medium">
        <color rgb="FF4F81BD"/>
      </bottom>
      <diagonal/>
    </border>
    <border>
      <left style="medium">
        <color rgb="FF4F81BD"/>
      </left>
      <right style="medium">
        <color rgb="FF4F81BD"/>
      </right>
      <top/>
      <bottom/>
      <diagonal/>
    </border>
    <border>
      <left/>
      <right style="medium">
        <color rgb="FF4F81BD"/>
      </right>
      <top/>
      <bottom style="medium">
        <color rgb="FF4F81BD"/>
      </bottom>
      <diagonal/>
    </border>
    <border>
      <left style="medium">
        <color rgb="FF4F81BD"/>
      </left>
      <right/>
      <top/>
      <bottom/>
      <diagonal/>
    </border>
    <border>
      <left style="medium">
        <color rgb="FF4F81BD"/>
      </left>
      <right style="medium">
        <color rgb="FF4F81BD"/>
      </right>
      <top/>
      <bottom style="medium">
        <color rgb="FF4F81BD"/>
      </bottom>
      <diagonal/>
    </border>
    <border>
      <left style="medium">
        <color rgb="FF4F81BD"/>
      </left>
      <right/>
      <top/>
      <bottom style="medium">
        <color rgb="FF4F81BD"/>
      </bottom>
      <diagonal/>
    </border>
    <border>
      <left style="thin">
        <color theme="4" tint="-0.249977111117893"/>
      </left>
      <right/>
      <top/>
      <bottom/>
      <diagonal/>
    </border>
    <border>
      <left style="medium">
        <color theme="4" tint="-0.249977111117893"/>
      </left>
      <right style="medium">
        <color theme="8"/>
      </right>
      <top style="medium">
        <color theme="8"/>
      </top>
      <bottom/>
      <diagonal/>
    </border>
    <border>
      <left style="medium">
        <color theme="8"/>
      </left>
      <right style="medium">
        <color theme="4" tint="-0.249977111117893"/>
      </right>
      <top style="medium">
        <color theme="8"/>
      </top>
      <bottom style="medium">
        <color theme="8"/>
      </bottom>
      <diagonal/>
    </border>
    <border>
      <left style="medium">
        <color theme="4" tint="-0.249977111117893"/>
      </left>
      <right/>
      <top/>
      <bottom/>
      <diagonal/>
    </border>
    <border>
      <left/>
      <right style="medium">
        <color theme="4" tint="-0.249977111117893"/>
      </right>
      <top style="medium">
        <color theme="8"/>
      </top>
      <bottom/>
      <diagonal/>
    </border>
    <border>
      <left/>
      <right style="medium">
        <color theme="4" tint="-0.249977111117893"/>
      </right>
      <top/>
      <bottom/>
      <diagonal/>
    </border>
    <border>
      <left style="medium">
        <color theme="4" tint="-0.249977111117893"/>
      </left>
      <right/>
      <top style="medium">
        <color theme="4" tint="-0.249977111117893"/>
      </top>
      <bottom/>
      <diagonal/>
    </border>
    <border>
      <left style="medium">
        <color theme="8"/>
      </left>
      <right style="medium">
        <color theme="4" tint="-0.249977111117893"/>
      </right>
      <top style="medium">
        <color theme="8"/>
      </top>
      <bottom/>
      <diagonal/>
    </border>
    <border>
      <left style="medium">
        <color theme="8"/>
      </left>
      <right style="medium">
        <color theme="4" tint="-0.249977111117893"/>
      </right>
      <top/>
      <bottom/>
      <diagonal/>
    </border>
    <border>
      <left style="medium">
        <color theme="8"/>
      </left>
      <right style="medium">
        <color theme="4" tint="-0.249977111117893"/>
      </right>
      <top/>
      <bottom style="medium">
        <color theme="8"/>
      </bottom>
      <diagonal/>
    </border>
    <border>
      <left/>
      <right/>
      <top style="medium">
        <color theme="4" tint="-0.249977111117893"/>
      </top>
      <bottom/>
      <diagonal/>
    </border>
    <border>
      <left/>
      <right/>
      <top/>
      <bottom style="medium">
        <color theme="4" tint="-0.249977111117893"/>
      </bottom>
      <diagonal/>
    </border>
    <border>
      <left style="medium">
        <color theme="8"/>
      </left>
      <right style="medium">
        <color theme="4" tint="-0.249977111117893"/>
      </right>
      <top style="medium">
        <color theme="4" tint="-0.249977111117893"/>
      </top>
      <bottom/>
      <diagonal/>
    </border>
    <border>
      <left style="medium">
        <color theme="4" tint="-0.249977111117893"/>
      </left>
      <right/>
      <top style="thin">
        <color rgb="FF000000"/>
      </top>
      <bottom style="thin">
        <color rgb="FF000000"/>
      </bottom>
      <diagonal/>
    </border>
    <border>
      <left style="medium">
        <color theme="4" tint="-0.249977111117893"/>
      </left>
      <right style="medium">
        <color theme="4" tint="-0.249977111117893"/>
      </right>
      <top style="medium">
        <color theme="4" tint="-0.249977111117893"/>
      </top>
      <bottom style="thin">
        <color rgb="FF000000"/>
      </bottom>
      <diagonal/>
    </border>
    <border>
      <left style="medium">
        <color theme="4" tint="-0.249977111117893"/>
      </left>
      <right style="medium">
        <color theme="4" tint="-0.249977111117893"/>
      </right>
      <top style="thin">
        <color rgb="FF000000"/>
      </top>
      <bottom style="thin">
        <color rgb="FF000000"/>
      </bottom>
      <diagonal/>
    </border>
    <border>
      <left style="medium">
        <color theme="4" tint="-0.249977111117893"/>
      </left>
      <right style="medium">
        <color theme="4" tint="-0.249977111117893"/>
      </right>
      <top style="thin">
        <color rgb="FF000000"/>
      </top>
      <bottom/>
      <diagonal/>
    </border>
    <border>
      <left style="medium">
        <color theme="4" tint="-0.249977111117893"/>
      </left>
      <right style="medium">
        <color theme="4" tint="-0.249977111117893"/>
      </right>
      <top style="thin">
        <color rgb="FF000000"/>
      </top>
      <bottom style="medium">
        <color theme="4" tint="-0.249977111117893"/>
      </bottom>
      <diagonal/>
    </border>
    <border>
      <left/>
      <right style="thin">
        <color rgb="FF000000"/>
      </right>
      <top/>
      <bottom/>
      <diagonal/>
    </border>
    <border>
      <left style="medium">
        <color theme="4" tint="-0.249977111117893"/>
      </left>
      <right/>
      <top style="medium">
        <color theme="4" tint="-0.249977111117893"/>
      </top>
      <bottom style="thin">
        <color rgb="FF000000"/>
      </bottom>
      <diagonal/>
    </border>
    <border>
      <left style="medium">
        <color theme="4" tint="-0.249977111117893"/>
      </left>
      <right/>
      <top style="thin">
        <color rgb="FF000000"/>
      </top>
      <bottom/>
      <diagonal/>
    </border>
    <border>
      <left style="medium">
        <color theme="4" tint="-0.249977111117893"/>
      </left>
      <right style="thin">
        <color rgb="FF000000"/>
      </right>
      <top style="medium">
        <color theme="4" tint="-0.249977111117893"/>
      </top>
      <bottom/>
      <diagonal/>
    </border>
    <border>
      <left/>
      <right/>
      <top style="thin">
        <color rgb="FF000000"/>
      </top>
      <bottom style="thin">
        <color rgb="FF000000"/>
      </bottom>
      <diagonal/>
    </border>
    <border>
      <left/>
      <right style="medium">
        <color theme="4" tint="-0.249977111117893"/>
      </right>
      <top style="medium">
        <color theme="4" tint="-0.249977111117893"/>
      </top>
      <bottom style="thin">
        <color rgb="FF000000"/>
      </bottom>
      <diagonal/>
    </border>
    <border>
      <left/>
      <right style="medium">
        <color theme="4" tint="-0.249977111117893"/>
      </right>
      <top style="thin">
        <color rgb="FF000000"/>
      </top>
      <bottom style="thin">
        <color rgb="FF000000"/>
      </bottom>
      <diagonal/>
    </border>
    <border>
      <left/>
      <right style="medium">
        <color theme="4" tint="-0.249977111117893"/>
      </right>
      <top style="thin">
        <color rgb="FF000000"/>
      </top>
      <bottom/>
      <diagonal/>
    </border>
    <border>
      <left/>
      <right style="medium">
        <color theme="4" tint="-0.249977111117893"/>
      </right>
      <top/>
      <bottom style="medium">
        <color theme="4" tint="-0.249977111117893"/>
      </bottom>
      <diagonal/>
    </border>
    <border>
      <left style="medium">
        <color theme="4" tint="-0.249977111117893"/>
      </left>
      <right style="medium">
        <color theme="4" tint="-0.249977111117893"/>
      </right>
      <top style="medium">
        <color theme="4" tint="-0.249977111117893"/>
      </top>
      <bottom/>
      <diagonal/>
    </border>
    <border>
      <left style="medium">
        <color theme="4" tint="-0.249977111117893"/>
      </left>
      <right style="medium">
        <color theme="4" tint="-0.249977111117893"/>
      </right>
      <top/>
      <bottom/>
      <diagonal/>
    </border>
    <border>
      <left/>
      <right/>
      <top style="thin">
        <color rgb="FF000000"/>
      </top>
      <bottom/>
      <diagonal/>
    </border>
    <border>
      <left/>
      <right/>
      <top/>
      <bottom style="thin">
        <color rgb="FF000000"/>
      </bottom>
      <diagonal/>
    </border>
    <border>
      <left style="medium">
        <color theme="4" tint="-0.249977111117893"/>
      </left>
      <right style="medium">
        <color theme="4" tint="-0.249977111117893"/>
      </right>
      <top/>
      <bottom style="medium">
        <color theme="4" tint="-0.249977111117893"/>
      </bottom>
      <diagonal/>
    </border>
  </borders>
  <cellStyleXfs count="3">
    <xf numFmtId="0" fontId="0" fillId="0" borderId="0"/>
    <xf numFmtId="9" fontId="9" fillId="0" borderId="0" applyFont="0" applyFill="0" applyBorder="0" applyAlignment="0" applyProtection="0"/>
    <xf numFmtId="164" fontId="9" fillId="0" borderId="0" applyFont="0" applyFill="0" applyBorder="0" applyAlignment="0" applyProtection="0"/>
  </cellStyleXfs>
  <cellXfs count="288">
    <xf numFmtId="0" fontId="0" fillId="0" borderId="0" xfId="0"/>
    <xf numFmtId="0" fontId="0" fillId="0" borderId="0" xfId="0"/>
    <xf numFmtId="0" fontId="1" fillId="0" borderId="1" xfId="0" applyFont="1" applyBorder="1" applyAlignment="1">
      <alignment horizontal="center" vertical="center" wrapText="1"/>
    </xf>
    <xf numFmtId="2" fontId="1" fillId="0" borderId="1" xfId="0" applyNumberFormat="1" applyFont="1" applyBorder="1" applyAlignment="1">
      <alignment horizontal="center" vertical="center" wrapText="1"/>
    </xf>
    <xf numFmtId="0" fontId="10" fillId="0" borderId="1" xfId="0" applyFont="1" applyBorder="1" applyAlignment="1">
      <alignment horizontal="center" vertical="center" wrapText="1"/>
    </xf>
    <xf numFmtId="2" fontId="10" fillId="0" borderId="1" xfId="0" applyNumberFormat="1" applyFont="1" applyBorder="1" applyAlignment="1">
      <alignment horizontal="center" vertical="center" wrapText="1"/>
    </xf>
    <xf numFmtId="2" fontId="5" fillId="0" borderId="12" xfId="0" applyNumberFormat="1" applyFont="1" applyBorder="1" applyAlignment="1" applyProtection="1">
      <alignment horizontal="center" vertical="center"/>
    </xf>
    <xf numFmtId="0" fontId="5" fillId="0" borderId="12" xfId="0" applyNumberFormat="1" applyFont="1" applyBorder="1" applyAlignment="1" applyProtection="1">
      <alignment horizontal="center" vertical="center"/>
    </xf>
    <xf numFmtId="0" fontId="1" fillId="0" borderId="0" xfId="0" applyFont="1" applyAlignment="1" applyProtection="1">
      <protection locked="0"/>
    </xf>
    <xf numFmtId="0" fontId="1" fillId="0" borderId="0" xfId="0" applyFont="1" applyProtection="1">
      <protection locked="0"/>
    </xf>
    <xf numFmtId="0" fontId="6" fillId="0" borderId="0" xfId="0" applyFont="1" applyProtection="1">
      <protection locked="0"/>
    </xf>
    <xf numFmtId="0" fontId="3" fillId="0" borderId="7" xfId="0" applyFont="1" applyBorder="1" applyAlignment="1" applyProtection="1">
      <alignment horizontal="center" vertical="center"/>
      <protection locked="0"/>
    </xf>
    <xf numFmtId="0" fontId="3" fillId="0" borderId="9" xfId="0" applyFont="1" applyBorder="1" applyAlignment="1" applyProtection="1">
      <alignment horizontal="center" vertical="center"/>
      <protection locked="0"/>
    </xf>
    <xf numFmtId="0" fontId="3" fillId="0" borderId="11" xfId="0" applyFont="1" applyBorder="1" applyAlignment="1" applyProtection="1">
      <alignment horizontal="center" vertical="center"/>
      <protection locked="0"/>
    </xf>
    <xf numFmtId="0" fontId="1" fillId="3" borderId="0" xfId="0" applyFont="1" applyFill="1" applyProtection="1">
      <protection locked="0"/>
    </xf>
    <xf numFmtId="0" fontId="3" fillId="0" borderId="7" xfId="0" applyFont="1" applyFill="1" applyBorder="1" applyAlignment="1" applyProtection="1">
      <alignment horizontal="center" vertical="center"/>
      <protection locked="0"/>
    </xf>
    <xf numFmtId="0" fontId="3" fillId="0" borderId="9" xfId="0" applyFont="1" applyFill="1" applyBorder="1" applyAlignment="1" applyProtection="1">
      <alignment horizontal="center" vertical="center"/>
      <protection locked="0"/>
    </xf>
    <xf numFmtId="0" fontId="3" fillId="0" borderId="11" xfId="0" applyFont="1" applyFill="1" applyBorder="1" applyAlignment="1" applyProtection="1">
      <alignment horizontal="center" vertical="center"/>
      <protection locked="0"/>
    </xf>
    <xf numFmtId="0" fontId="2" fillId="0" borderId="0" xfId="0" applyFont="1" applyAlignment="1" applyProtection="1">
      <alignment vertical="center"/>
      <protection locked="0"/>
    </xf>
    <xf numFmtId="0" fontId="2" fillId="0" borderId="1" xfId="0" applyFont="1" applyBorder="1" applyAlignment="1">
      <alignment horizontal="center" vertical="center" wrapText="1"/>
    </xf>
    <xf numFmtId="0" fontId="7" fillId="0" borderId="0" xfId="0" applyFont="1" applyAlignment="1" applyProtection="1">
      <alignment horizontal="center" vertical="center" wrapText="1"/>
      <protection locked="0"/>
    </xf>
    <xf numFmtId="9" fontId="7" fillId="0" borderId="0" xfId="1" applyFont="1" applyAlignment="1" applyProtection="1">
      <alignment horizontal="center" vertical="center" wrapText="1"/>
      <protection locked="0"/>
    </xf>
    <xf numFmtId="9" fontId="1" fillId="0" borderId="0" xfId="1" applyFont="1" applyProtection="1">
      <protection locked="0"/>
    </xf>
    <xf numFmtId="9" fontId="2" fillId="0" borderId="1" xfId="1" applyFont="1" applyFill="1" applyBorder="1" applyAlignment="1" applyProtection="1">
      <alignment horizontal="center" vertical="center" wrapText="1"/>
      <protection locked="0"/>
    </xf>
    <xf numFmtId="0" fontId="6" fillId="0" borderId="0" xfId="0" applyNumberFormat="1" applyFont="1" applyProtection="1">
      <protection locked="0"/>
    </xf>
    <xf numFmtId="0" fontId="1" fillId="0" borderId="0" xfId="0" applyNumberFormat="1" applyFont="1" applyProtection="1">
      <protection locked="0"/>
    </xf>
    <xf numFmtId="0" fontId="2" fillId="0" borderId="1" xfId="0" applyNumberFormat="1" applyFont="1" applyFill="1" applyBorder="1" applyAlignment="1" applyProtection="1">
      <alignment horizontal="center" vertical="center" wrapText="1"/>
      <protection locked="0"/>
    </xf>
    <xf numFmtId="0" fontId="5" fillId="0" borderId="10" xfId="0" applyFont="1" applyBorder="1" applyAlignment="1" applyProtection="1">
      <alignment horizontal="center" vertical="center"/>
    </xf>
    <xf numFmtId="0" fontId="4" fillId="0" borderId="10" xfId="0" applyFont="1" applyFill="1" applyBorder="1" applyAlignment="1" applyProtection="1">
      <alignment horizontal="center" vertical="center"/>
    </xf>
    <xf numFmtId="0" fontId="4" fillId="0" borderId="10" xfId="0" applyFont="1" applyBorder="1" applyAlignment="1" applyProtection="1">
      <alignment horizontal="center" vertical="center"/>
    </xf>
    <xf numFmtId="9" fontId="15" fillId="3" borderId="0" xfId="0" applyNumberFormat="1" applyFont="1" applyFill="1" applyAlignment="1" applyProtection="1">
      <alignment horizontal="center" vertical="center"/>
    </xf>
    <xf numFmtId="9" fontId="15" fillId="0" borderId="0" xfId="1" applyFont="1" applyAlignment="1" applyProtection="1">
      <alignment horizontal="center" vertical="center"/>
    </xf>
    <xf numFmtId="2" fontId="0" fillId="0" borderId="0" xfId="0" applyNumberFormat="1"/>
    <xf numFmtId="9" fontId="0" fillId="0" borderId="0" xfId="1" applyFont="1"/>
    <xf numFmtId="9" fontId="0" fillId="0" borderId="0" xfId="1" applyNumberFormat="1" applyFont="1"/>
    <xf numFmtId="9" fontId="0" fillId="0" borderId="0" xfId="0" applyNumberFormat="1"/>
    <xf numFmtId="9" fontId="0" fillId="0" borderId="0" xfId="2" applyNumberFormat="1" applyFont="1"/>
    <xf numFmtId="0" fontId="16" fillId="0" borderId="0" xfId="0" applyFont="1" applyAlignment="1">
      <alignment horizontal="center"/>
    </xf>
    <xf numFmtId="0" fontId="19" fillId="0" borderId="17" xfId="0" applyFont="1" applyBorder="1" applyAlignment="1">
      <alignment horizontal="center" vertical="center" wrapText="1"/>
    </xf>
    <xf numFmtId="2" fontId="19" fillId="0" borderId="18" xfId="0" applyNumberFormat="1" applyFont="1" applyBorder="1" applyAlignment="1">
      <alignment horizontal="center" vertical="center" wrapText="1"/>
    </xf>
    <xf numFmtId="0" fontId="19" fillId="0" borderId="18" xfId="0" applyFont="1" applyBorder="1" applyAlignment="1">
      <alignment horizontal="center" vertical="center" wrapText="1"/>
    </xf>
    <xf numFmtId="9" fontId="19" fillId="0" borderId="18" xfId="1" applyFont="1" applyBorder="1" applyAlignment="1">
      <alignment horizontal="center" vertical="center" wrapText="1"/>
    </xf>
    <xf numFmtId="0" fontId="19" fillId="0" borderId="15" xfId="0" applyFont="1" applyBorder="1" applyAlignment="1">
      <alignment horizontal="center" vertical="center" wrapText="1"/>
    </xf>
    <xf numFmtId="9" fontId="19" fillId="0" borderId="18" xfId="0" applyNumberFormat="1" applyFont="1" applyBorder="1" applyAlignment="1">
      <alignment horizontal="center" vertical="center" wrapText="1"/>
    </xf>
    <xf numFmtId="0" fontId="20" fillId="0" borderId="15" xfId="0" applyFont="1" applyBorder="1" applyAlignment="1">
      <alignment horizontal="center" vertical="center" wrapText="1"/>
    </xf>
    <xf numFmtId="0" fontId="20" fillId="0" borderId="16" xfId="0" applyFont="1" applyBorder="1" applyAlignment="1">
      <alignment horizontal="center" vertical="center" wrapText="1"/>
    </xf>
    <xf numFmtId="0" fontId="19" fillId="0" borderId="20" xfId="0" applyFont="1" applyBorder="1" applyAlignment="1">
      <alignment horizontal="center" vertical="center" wrapText="1"/>
    </xf>
    <xf numFmtId="0" fontId="17" fillId="0" borderId="20" xfId="0" applyFont="1" applyBorder="1" applyAlignment="1">
      <alignment horizontal="center" vertical="center" wrapText="1"/>
    </xf>
    <xf numFmtId="9" fontId="17" fillId="0" borderId="20" xfId="0" applyNumberFormat="1" applyFont="1" applyBorder="1" applyAlignment="1">
      <alignment horizontal="center" vertical="center" wrapText="1"/>
    </xf>
    <xf numFmtId="0" fontId="18" fillId="0" borderId="0" xfId="0" applyFont="1" applyFill="1" applyBorder="1" applyAlignment="1">
      <alignment vertical="center" textRotation="90" wrapText="1"/>
    </xf>
    <xf numFmtId="9" fontId="19" fillId="0" borderId="20" xfId="0" applyNumberFormat="1" applyFont="1" applyBorder="1" applyAlignment="1">
      <alignment horizontal="center" vertical="center" wrapText="1"/>
    </xf>
    <xf numFmtId="0" fontId="20" fillId="0" borderId="0" xfId="0" applyFont="1" applyFill="1" applyBorder="1" applyAlignment="1">
      <alignment horizontal="center" vertical="center" wrapText="1"/>
    </xf>
    <xf numFmtId="0" fontId="19" fillId="0" borderId="0" xfId="0" applyFont="1" applyBorder="1" applyAlignment="1">
      <alignment horizontal="center" vertical="center" wrapText="1"/>
    </xf>
    <xf numFmtId="9" fontId="15" fillId="0" borderId="0" xfId="1" applyFont="1" applyAlignment="1" applyProtection="1">
      <alignment horizontal="center"/>
    </xf>
    <xf numFmtId="165" fontId="22" fillId="0" borderId="1" xfId="0" applyNumberFormat="1" applyFont="1" applyBorder="1" applyAlignment="1" applyProtection="1">
      <alignment horizontal="center" vertical="center" wrapText="1"/>
      <protection locked="0"/>
    </xf>
    <xf numFmtId="165" fontId="2" fillId="0" borderId="4" xfId="0" applyNumberFormat="1" applyFont="1" applyFill="1" applyBorder="1" applyAlignment="1" applyProtection="1">
      <alignment horizontal="center" vertical="center" wrapText="1"/>
      <protection locked="0"/>
    </xf>
    <xf numFmtId="0" fontId="12" fillId="0" borderId="0" xfId="0" applyFont="1" applyBorder="1" applyAlignment="1" applyProtection="1">
      <alignment vertical="center" wrapText="1"/>
    </xf>
    <xf numFmtId="0" fontId="1" fillId="0" borderId="0" xfId="0" applyFont="1" applyBorder="1" applyProtection="1">
      <protection locked="0"/>
    </xf>
    <xf numFmtId="0" fontId="1" fillId="3" borderId="0" xfId="0" applyFont="1" applyFill="1" applyBorder="1" applyProtection="1">
      <protection locked="0"/>
    </xf>
    <xf numFmtId="165" fontId="22" fillId="0" borderId="23" xfId="0" applyNumberFormat="1" applyFont="1" applyBorder="1" applyAlignment="1" applyProtection="1">
      <alignment horizontal="center" vertical="center" wrapText="1"/>
      <protection locked="0"/>
    </xf>
    <xf numFmtId="165" fontId="2" fillId="0" borderId="7" xfId="0" applyNumberFormat="1" applyFont="1" applyFill="1" applyBorder="1" applyAlignment="1" applyProtection="1">
      <alignment horizontal="center" vertical="center" wrapText="1"/>
      <protection locked="0"/>
    </xf>
    <xf numFmtId="165" fontId="2" fillId="0" borderId="28" xfId="0" applyNumberFormat="1" applyFont="1" applyFill="1" applyBorder="1" applyAlignment="1" applyProtection="1">
      <alignment horizontal="center" vertical="center" wrapText="1"/>
      <protection locked="0"/>
    </xf>
    <xf numFmtId="0" fontId="1" fillId="0" borderId="32" xfId="0" applyFont="1" applyBorder="1" applyProtection="1">
      <protection locked="0"/>
    </xf>
    <xf numFmtId="0" fontId="1" fillId="0" borderId="25" xfId="0" applyFont="1" applyBorder="1" applyProtection="1">
      <protection locked="0"/>
    </xf>
    <xf numFmtId="0" fontId="2" fillId="0" borderId="34" xfId="0" applyFont="1" applyBorder="1" applyAlignment="1" applyProtection="1">
      <alignment horizontal="center" vertical="center"/>
      <protection locked="0"/>
    </xf>
    <xf numFmtId="0" fontId="1" fillId="0" borderId="40" xfId="0" applyFont="1" applyBorder="1" applyProtection="1">
      <protection locked="0"/>
    </xf>
    <xf numFmtId="0" fontId="1" fillId="3" borderId="25" xfId="0" applyFont="1" applyFill="1" applyBorder="1" applyProtection="1">
      <protection locked="0"/>
    </xf>
    <xf numFmtId="0" fontId="24" fillId="0" borderId="0" xfId="0" applyFont="1" applyProtection="1">
      <protection locked="0"/>
    </xf>
    <xf numFmtId="0" fontId="1" fillId="0" borderId="43" xfId="0" applyFont="1" applyBorder="1" applyProtection="1">
      <protection locked="0"/>
    </xf>
    <xf numFmtId="0" fontId="1" fillId="0" borderId="0" xfId="0" applyFont="1" applyAlignment="1" applyProtection="1">
      <alignment horizontal="center" vertical="center" wrapText="1"/>
      <protection locked="0"/>
    </xf>
    <xf numFmtId="0" fontId="24" fillId="0" borderId="1" xfId="0" applyFont="1" applyBorder="1" applyAlignment="1" applyProtection="1">
      <alignment horizontal="center" vertical="center" wrapText="1"/>
      <protection locked="0"/>
    </xf>
    <xf numFmtId="0" fontId="1" fillId="0" borderId="28" xfId="0" applyFont="1" applyBorder="1" applyAlignment="1" applyProtection="1">
      <alignment horizontal="center" vertical="center" wrapText="1"/>
      <protection locked="0"/>
    </xf>
    <xf numFmtId="0" fontId="1" fillId="0" borderId="49" xfId="0" applyFont="1" applyBorder="1" applyAlignment="1" applyProtection="1">
      <alignment horizontal="center" vertical="center" wrapText="1"/>
      <protection locked="0"/>
    </xf>
    <xf numFmtId="0" fontId="1" fillId="0" borderId="43" xfId="0" applyFont="1" applyBorder="1" applyAlignment="1" applyProtection="1">
      <alignment horizontal="center" vertical="center" wrapText="1"/>
      <protection locked="0"/>
    </xf>
    <xf numFmtId="0" fontId="4" fillId="0" borderId="8" xfId="0" applyFont="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5" fontId="2" fillId="0" borderId="1" xfId="0" applyNumberFormat="1" applyFont="1" applyFill="1" applyBorder="1" applyAlignment="1" applyProtection="1">
      <alignment horizontal="center" vertical="center" wrapText="1"/>
      <protection locked="0"/>
    </xf>
    <xf numFmtId="165" fontId="2" fillId="0" borderId="1" xfId="0" applyNumberFormat="1" applyFont="1" applyFill="1" applyBorder="1" applyAlignment="1" applyProtection="1">
      <alignment horizontal="center" vertical="center" wrapText="1"/>
    </xf>
    <xf numFmtId="0" fontId="4" fillId="0" borderId="4" xfId="0" applyFont="1" applyBorder="1" applyAlignment="1" applyProtection="1">
      <alignment horizontal="center" vertical="center"/>
    </xf>
    <xf numFmtId="0" fontId="4" fillId="0" borderId="5" xfId="0" applyFont="1" applyBorder="1" applyAlignment="1" applyProtection="1">
      <alignment horizontal="center" vertical="center"/>
    </xf>
    <xf numFmtId="0" fontId="4" fillId="0" borderId="6" xfId="0" applyFont="1" applyBorder="1" applyAlignment="1" applyProtection="1">
      <alignment horizontal="center" vertical="center"/>
    </xf>
    <xf numFmtId="0" fontId="4" fillId="0" borderId="4" xfId="0" applyFont="1" applyBorder="1" applyAlignment="1" applyProtection="1">
      <alignment horizontal="center" vertical="center"/>
      <protection locked="0"/>
    </xf>
    <xf numFmtId="0" fontId="4" fillId="0" borderId="6" xfId="0" applyFont="1" applyBorder="1" applyAlignment="1" applyProtection="1">
      <alignment horizontal="center" vertical="center"/>
      <protection locked="0"/>
    </xf>
    <xf numFmtId="9" fontId="4" fillId="0" borderId="4" xfId="0" applyNumberFormat="1" applyFont="1" applyBorder="1" applyAlignment="1" applyProtection="1">
      <alignment horizontal="center" vertical="center"/>
      <protection locked="0"/>
    </xf>
    <xf numFmtId="9" fontId="4" fillId="0" borderId="5" xfId="0" applyNumberFormat="1" applyFont="1" applyBorder="1" applyAlignment="1" applyProtection="1">
      <alignment horizontal="center" vertical="center"/>
      <protection locked="0"/>
    </xf>
    <xf numFmtId="9" fontId="4" fillId="0" borderId="6" xfId="0" applyNumberFormat="1" applyFont="1" applyBorder="1" applyAlignment="1" applyProtection="1">
      <alignment horizontal="center" vertical="center"/>
      <protection locked="0"/>
    </xf>
    <xf numFmtId="2" fontId="4" fillId="0" borderId="4" xfId="0" applyNumberFormat="1" applyFont="1" applyBorder="1" applyAlignment="1" applyProtection="1">
      <alignment horizontal="center" vertical="center"/>
      <protection locked="0"/>
    </xf>
    <xf numFmtId="2" fontId="4" fillId="0" borderId="5" xfId="0" applyNumberFormat="1" applyFont="1" applyBorder="1" applyAlignment="1" applyProtection="1">
      <alignment horizontal="center" vertical="center"/>
      <protection locked="0"/>
    </xf>
    <xf numFmtId="2" fontId="4" fillId="0" borderId="6" xfId="0" applyNumberFormat="1" applyFont="1" applyBorder="1" applyAlignment="1" applyProtection="1">
      <alignment horizontal="center" vertical="center"/>
      <protection locked="0"/>
    </xf>
    <xf numFmtId="0" fontId="4" fillId="0" borderId="5" xfId="0" applyFont="1" applyBorder="1" applyAlignment="1" applyProtection="1">
      <alignment horizontal="center" vertical="center"/>
      <protection locked="0"/>
    </xf>
    <xf numFmtId="2" fontId="4" fillId="0" borderId="1" xfId="0" applyNumberFormat="1" applyFont="1" applyBorder="1" applyAlignment="1" applyProtection="1">
      <alignment horizontal="center" vertical="center"/>
    </xf>
    <xf numFmtId="0" fontId="2" fillId="2" borderId="2" xfId="0" applyFont="1" applyFill="1" applyBorder="1" applyAlignment="1" applyProtection="1">
      <alignment horizontal="center" vertical="center" wrapText="1"/>
      <protection locked="0"/>
    </xf>
    <xf numFmtId="0" fontId="2" fillId="2" borderId="3" xfId="0" applyFont="1" applyFill="1" applyBorder="1" applyAlignment="1" applyProtection="1">
      <alignment horizontal="center" vertical="center" wrapText="1"/>
      <protection locked="0"/>
    </xf>
    <xf numFmtId="0" fontId="2" fillId="2" borderId="0" xfId="0" applyFont="1" applyFill="1" applyBorder="1" applyAlignment="1" applyProtection="1">
      <alignment horizontal="center" vertical="center" wrapText="1"/>
      <protection locked="0"/>
    </xf>
    <xf numFmtId="0" fontId="4" fillId="8" borderId="4" xfId="0" applyFont="1" applyFill="1" applyBorder="1" applyAlignment="1" applyProtection="1">
      <alignment horizontal="center" vertical="center" wrapText="1"/>
      <protection locked="0"/>
    </xf>
    <xf numFmtId="0" fontId="4" fillId="8" borderId="5" xfId="0" applyFont="1" applyFill="1" applyBorder="1" applyAlignment="1" applyProtection="1">
      <alignment horizontal="center" vertical="center" wrapText="1"/>
      <protection locked="0"/>
    </xf>
    <xf numFmtId="0" fontId="4" fillId="8" borderId="6" xfId="0" applyFont="1" applyFill="1" applyBorder="1" applyAlignment="1" applyProtection="1">
      <alignment horizontal="center" vertical="center" wrapText="1"/>
      <protection locked="0"/>
    </xf>
    <xf numFmtId="0" fontId="4" fillId="3" borderId="1" xfId="0" applyFont="1" applyFill="1" applyBorder="1" applyAlignment="1" applyProtection="1">
      <alignment horizontal="center" vertical="center" wrapText="1"/>
      <protection locked="0"/>
    </xf>
    <xf numFmtId="0" fontId="4" fillId="3" borderId="1" xfId="0" applyFont="1" applyFill="1" applyBorder="1" applyAlignment="1" applyProtection="1">
      <alignment horizontal="center" vertical="center"/>
      <protection locked="0"/>
    </xf>
    <xf numFmtId="0" fontId="4" fillId="7" borderId="4" xfId="0" applyFont="1" applyFill="1" applyBorder="1" applyAlignment="1" applyProtection="1">
      <alignment horizontal="center" vertical="center" wrapText="1"/>
      <protection locked="0"/>
    </xf>
    <xf numFmtId="0" fontId="4" fillId="7" borderId="5" xfId="0" applyFont="1" applyFill="1" applyBorder="1" applyAlignment="1" applyProtection="1">
      <alignment horizontal="center" vertical="center" wrapText="1"/>
      <protection locked="0"/>
    </xf>
    <xf numFmtId="0" fontId="4" fillId="7" borderId="6" xfId="0" applyFont="1" applyFill="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0" fontId="4" fillId="0" borderId="1" xfId="0" applyFont="1" applyBorder="1" applyAlignment="1" applyProtection="1">
      <alignment horizontal="center" vertical="center" wrapText="1"/>
      <protection locked="0"/>
    </xf>
    <xf numFmtId="0" fontId="4" fillId="0" borderId="1" xfId="0" applyFont="1" applyBorder="1" applyAlignment="1" applyProtection="1">
      <alignment horizontal="center" vertical="center"/>
      <protection locked="0"/>
    </xf>
    <xf numFmtId="2" fontId="4" fillId="0" borderId="4" xfId="0" applyNumberFormat="1" applyFont="1" applyBorder="1" applyAlignment="1" applyProtection="1">
      <alignment horizontal="center" vertical="center"/>
    </xf>
    <xf numFmtId="2" fontId="4" fillId="0" borderId="5" xfId="0" applyNumberFormat="1" applyFont="1" applyBorder="1" applyAlignment="1" applyProtection="1">
      <alignment horizontal="center" vertical="center"/>
    </xf>
    <xf numFmtId="2" fontId="4" fillId="0" borderId="6" xfId="0" applyNumberFormat="1" applyFont="1" applyBorder="1" applyAlignment="1" applyProtection="1">
      <alignment horizontal="center" vertical="center"/>
    </xf>
    <xf numFmtId="0" fontId="4" fillId="0" borderId="5" xfId="0" applyFont="1" applyBorder="1" applyAlignment="1" applyProtection="1">
      <alignment horizontal="center" vertical="center" wrapText="1"/>
      <protection locked="0"/>
    </xf>
    <xf numFmtId="0" fontId="4" fillId="0" borderId="6" xfId="0" applyFont="1" applyBorder="1" applyAlignment="1" applyProtection="1">
      <alignment horizontal="center" vertical="center" wrapText="1"/>
      <protection locked="0"/>
    </xf>
    <xf numFmtId="0" fontId="4" fillId="0" borderId="7" xfId="0" applyFont="1" applyBorder="1" applyAlignment="1" applyProtection="1">
      <alignment horizontal="center" vertical="center" wrapText="1"/>
      <protection locked="0"/>
    </xf>
    <xf numFmtId="0" fontId="4" fillId="0" borderId="8" xfId="0" applyFont="1" applyBorder="1" applyAlignment="1" applyProtection="1">
      <alignment horizontal="center" vertical="center"/>
      <protection locked="0"/>
    </xf>
    <xf numFmtId="0" fontId="4" fillId="0" borderId="9" xfId="0" applyFont="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11" xfId="0" applyFont="1" applyBorder="1" applyAlignment="1" applyProtection="1">
      <alignment horizontal="center" vertical="center"/>
      <protection locked="0"/>
    </xf>
    <xf numFmtId="0" fontId="4" fillId="0" borderId="12" xfId="0" applyFont="1" applyBorder="1" applyAlignment="1" applyProtection="1">
      <alignment horizontal="center" vertical="center"/>
      <protection locked="0"/>
    </xf>
    <xf numFmtId="0" fontId="4" fillId="0" borderId="4" xfId="0" applyFont="1" applyFill="1" applyBorder="1" applyAlignment="1" applyProtection="1">
      <alignment horizontal="center" vertical="center" wrapText="1"/>
      <protection locked="0"/>
    </xf>
    <xf numFmtId="0" fontId="4" fillId="0" borderId="5" xfId="0" applyFont="1" applyFill="1" applyBorder="1" applyAlignment="1" applyProtection="1">
      <alignment horizontal="center" vertical="center" wrapText="1"/>
      <protection locked="0"/>
    </xf>
    <xf numFmtId="0" fontId="4" fillId="0" borderId="6" xfId="0" applyFont="1" applyFill="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0" fontId="4" fillId="0" borderId="1" xfId="0" applyFont="1" applyFill="1" applyBorder="1" applyAlignment="1" applyProtection="1">
      <alignment horizontal="center" vertical="center"/>
      <protection locked="0"/>
    </xf>
    <xf numFmtId="2" fontId="4" fillId="3" borderId="1" xfId="0" applyNumberFormat="1" applyFont="1" applyFill="1" applyBorder="1" applyAlignment="1" applyProtection="1">
      <alignment horizontal="center" vertical="center"/>
    </xf>
    <xf numFmtId="0" fontId="4" fillId="8" borderId="4" xfId="0" applyFont="1" applyFill="1" applyBorder="1" applyAlignment="1" applyProtection="1">
      <alignment horizontal="center" vertical="center"/>
      <protection locked="0"/>
    </xf>
    <xf numFmtId="0" fontId="4" fillId="8" borderId="6" xfId="0" applyFont="1" applyFill="1" applyBorder="1" applyAlignment="1" applyProtection="1">
      <alignment horizontal="center" vertical="center"/>
      <protection locked="0"/>
    </xf>
    <xf numFmtId="9" fontId="4" fillId="0" borderId="7" xfId="1" applyFont="1" applyBorder="1" applyAlignment="1" applyProtection="1">
      <alignment horizontal="center" vertical="center"/>
      <protection locked="0"/>
    </xf>
    <xf numFmtId="9" fontId="4" fillId="0" borderId="9" xfId="1" applyFont="1" applyBorder="1" applyAlignment="1" applyProtection="1">
      <alignment horizontal="center" vertical="center"/>
      <protection locked="0"/>
    </xf>
    <xf numFmtId="9" fontId="4" fillId="0" borderId="11" xfId="1" applyFont="1" applyBorder="1" applyAlignment="1" applyProtection="1">
      <alignment horizontal="center" vertical="center"/>
      <protection locked="0"/>
    </xf>
    <xf numFmtId="2" fontId="4" fillId="0" borderId="29" xfId="0" applyNumberFormat="1" applyFont="1" applyBorder="1" applyAlignment="1" applyProtection="1">
      <alignment horizontal="center" vertical="center"/>
    </xf>
    <xf numFmtId="2" fontId="4" fillId="0" borderId="30" xfId="0" applyNumberFormat="1" applyFont="1" applyBorder="1" applyAlignment="1" applyProtection="1">
      <alignment horizontal="center" vertical="center"/>
    </xf>
    <xf numFmtId="2" fontId="4" fillId="0" borderId="31" xfId="0" applyNumberFormat="1" applyFont="1" applyBorder="1" applyAlignment="1" applyProtection="1">
      <alignment horizontal="center" vertical="center"/>
    </xf>
    <xf numFmtId="2" fontId="4" fillId="0" borderId="7" xfId="0" applyNumberFormat="1" applyFont="1" applyBorder="1" applyAlignment="1" applyProtection="1">
      <alignment horizontal="center" vertical="center"/>
    </xf>
    <xf numFmtId="2" fontId="4" fillId="0" borderId="9" xfId="0" applyNumberFormat="1" applyFont="1" applyBorder="1" applyAlignment="1" applyProtection="1">
      <alignment horizontal="center" vertical="center"/>
    </xf>
    <xf numFmtId="2" fontId="4" fillId="0" borderId="11" xfId="0" applyNumberFormat="1" applyFont="1" applyBorder="1" applyAlignment="1" applyProtection="1">
      <alignment horizontal="center" vertical="center"/>
    </xf>
    <xf numFmtId="0" fontId="4" fillId="0" borderId="6" xfId="0" applyFont="1" applyFill="1" applyBorder="1" applyAlignment="1" applyProtection="1">
      <alignment horizontal="center" vertical="center"/>
      <protection locked="0"/>
    </xf>
    <xf numFmtId="2" fontId="4" fillId="0" borderId="4" xfId="0" applyNumberFormat="1" applyFont="1" applyFill="1" applyBorder="1" applyAlignment="1" applyProtection="1">
      <alignment horizontal="center" vertical="center"/>
    </xf>
    <xf numFmtId="2" fontId="4" fillId="0" borderId="5" xfId="0" applyNumberFormat="1" applyFont="1" applyFill="1" applyBorder="1" applyAlignment="1" applyProtection="1">
      <alignment horizontal="center" vertical="center"/>
    </xf>
    <xf numFmtId="2" fontId="4" fillId="0" borderId="6" xfId="0" applyNumberFormat="1" applyFont="1" applyFill="1" applyBorder="1" applyAlignment="1" applyProtection="1">
      <alignment horizontal="center" vertical="center"/>
    </xf>
    <xf numFmtId="9" fontId="4" fillId="0" borderId="2" xfId="1" applyFont="1" applyBorder="1" applyAlignment="1" applyProtection="1">
      <alignment horizontal="center" vertical="center"/>
      <protection locked="0"/>
    </xf>
    <xf numFmtId="2" fontId="4" fillId="0" borderId="24" xfId="0" applyNumberFormat="1" applyFont="1" applyBorder="1" applyAlignment="1" applyProtection="1">
      <alignment horizontal="center" vertical="center"/>
    </xf>
    <xf numFmtId="0" fontId="2" fillId="4" borderId="2" xfId="0" applyFont="1" applyFill="1" applyBorder="1" applyAlignment="1" applyProtection="1">
      <alignment horizontal="center" vertical="center" wrapText="1"/>
      <protection locked="0"/>
    </xf>
    <xf numFmtId="0" fontId="2" fillId="4" borderId="3" xfId="0" applyFont="1" applyFill="1" applyBorder="1" applyAlignment="1" applyProtection="1">
      <alignment horizontal="center" vertical="center" wrapText="1"/>
      <protection locked="0"/>
    </xf>
    <xf numFmtId="0" fontId="2" fillId="4" borderId="0" xfId="0" applyFont="1" applyFill="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4" fillId="7" borderId="1" xfId="0" applyFont="1" applyFill="1" applyBorder="1" applyAlignment="1" applyProtection="1">
      <alignment horizontal="center" vertical="center" wrapText="1"/>
      <protection locked="0"/>
    </xf>
    <xf numFmtId="0" fontId="4" fillId="3" borderId="1" xfId="0" applyFont="1" applyFill="1" applyBorder="1" applyAlignment="1" applyProtection="1">
      <alignment horizontal="center" wrapText="1"/>
      <protection locked="0"/>
    </xf>
    <xf numFmtId="0" fontId="4" fillId="7" borderId="7" xfId="0" applyFont="1" applyFill="1" applyBorder="1" applyAlignment="1" applyProtection="1">
      <alignment horizontal="center" vertical="center" wrapText="1"/>
      <protection locked="0"/>
    </xf>
    <xf numFmtId="0" fontId="4" fillId="7" borderId="9" xfId="0" applyFont="1" applyFill="1" applyBorder="1" applyAlignment="1" applyProtection="1">
      <alignment horizontal="center" vertical="center" wrapText="1"/>
      <protection locked="0"/>
    </xf>
    <xf numFmtId="0" fontId="4" fillId="7" borderId="11" xfId="0" applyFont="1" applyFill="1" applyBorder="1" applyAlignment="1" applyProtection="1">
      <alignment horizontal="center" vertical="center" wrapText="1"/>
      <protection locked="0"/>
    </xf>
    <xf numFmtId="0" fontId="4" fillId="7" borderId="4" xfId="0" applyFont="1" applyFill="1" applyBorder="1" applyAlignment="1" applyProtection="1">
      <alignment horizontal="center" vertical="center"/>
      <protection locked="0"/>
    </xf>
    <xf numFmtId="0" fontId="4" fillId="7" borderId="5" xfId="0" applyFont="1" applyFill="1" applyBorder="1" applyAlignment="1" applyProtection="1">
      <alignment horizontal="center" vertical="center"/>
      <protection locked="0"/>
    </xf>
    <xf numFmtId="0" fontId="4" fillId="7" borderId="6" xfId="0" applyFont="1" applyFill="1" applyBorder="1" applyAlignment="1" applyProtection="1">
      <alignment horizontal="center" vertical="center"/>
      <protection locked="0"/>
    </xf>
    <xf numFmtId="0" fontId="3" fillId="0" borderId="7" xfId="0" applyFont="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3" fillId="0" borderId="11" xfId="0" applyFont="1" applyBorder="1" applyAlignment="1" applyProtection="1">
      <alignment horizontal="center" vertical="center" wrapText="1"/>
      <protection locked="0"/>
    </xf>
    <xf numFmtId="0" fontId="4" fillId="8" borderId="5" xfId="0" applyFont="1" applyFill="1" applyBorder="1" applyAlignment="1" applyProtection="1">
      <alignment horizontal="center" vertical="center"/>
      <protection locked="0"/>
    </xf>
    <xf numFmtId="0" fontId="2" fillId="0" borderId="4" xfId="0" applyFont="1" applyBorder="1" applyAlignment="1" applyProtection="1">
      <alignment horizontal="center" vertical="center"/>
      <protection locked="0"/>
    </xf>
    <xf numFmtId="0" fontId="2" fillId="0" borderId="5" xfId="0" applyFont="1" applyBorder="1" applyAlignment="1" applyProtection="1">
      <alignment horizontal="center" vertical="center"/>
      <protection locked="0"/>
    </xf>
    <xf numFmtId="0" fontId="2" fillId="0" borderId="6" xfId="0" applyFont="1" applyBorder="1" applyAlignment="1" applyProtection="1">
      <alignment horizontal="center" vertical="center"/>
      <protection locked="0"/>
    </xf>
    <xf numFmtId="0" fontId="4" fillId="0" borderId="4" xfId="0" applyFont="1" applyBorder="1" applyAlignment="1" applyProtection="1">
      <alignment horizontal="center" wrapText="1"/>
      <protection locked="0"/>
    </xf>
    <xf numFmtId="0" fontId="4" fillId="0" borderId="5" xfId="0" applyFont="1" applyBorder="1" applyAlignment="1" applyProtection="1">
      <alignment horizontal="center"/>
      <protection locked="0"/>
    </xf>
    <xf numFmtId="0" fontId="4" fillId="0" borderId="6" xfId="0" applyFont="1" applyBorder="1" applyAlignment="1" applyProtection="1">
      <alignment horizontal="center"/>
      <protection locked="0"/>
    </xf>
    <xf numFmtId="165" fontId="2" fillId="0" borderId="1" xfId="0" applyNumberFormat="1" applyFont="1" applyFill="1" applyBorder="1" applyAlignment="1" applyProtection="1">
      <alignment horizontal="center" vertical="center" wrapText="1"/>
      <protection locked="0"/>
    </xf>
    <xf numFmtId="0" fontId="3" fillId="0" borderId="1" xfId="0" applyFont="1" applyBorder="1" applyAlignment="1" applyProtection="1">
      <alignment horizontal="center" vertical="center" wrapText="1"/>
      <protection locked="0"/>
    </xf>
    <xf numFmtId="0" fontId="4" fillId="8" borderId="1" xfId="0" applyFont="1" applyFill="1" applyBorder="1" applyAlignment="1" applyProtection="1">
      <alignment horizontal="center" vertical="center" wrapText="1"/>
      <protection locked="0"/>
    </xf>
    <xf numFmtId="0" fontId="4" fillId="0" borderId="1" xfId="0" applyFont="1" applyBorder="1" applyAlignment="1" applyProtection="1">
      <alignment horizontal="center" vertical="center"/>
    </xf>
    <xf numFmtId="0" fontId="4" fillId="7" borderId="1" xfId="0" applyFont="1" applyFill="1" applyBorder="1" applyAlignment="1" applyProtection="1">
      <alignment horizontal="center" vertical="center"/>
      <protection locked="0"/>
    </xf>
    <xf numFmtId="0" fontId="4" fillId="0" borderId="1" xfId="0" applyFont="1" applyBorder="1" applyAlignment="1" applyProtection="1">
      <alignment horizontal="center" vertical="center" wrapText="1"/>
    </xf>
    <xf numFmtId="0" fontId="4" fillId="0" borderId="5" xfId="0" applyFont="1" applyFill="1" applyBorder="1" applyAlignment="1" applyProtection="1">
      <alignment horizontal="center" vertical="center"/>
      <protection locked="0"/>
    </xf>
    <xf numFmtId="0" fontId="4" fillId="0" borderId="7" xfId="0" applyFont="1" applyBorder="1" applyAlignment="1" applyProtection="1">
      <alignment horizontal="center" vertical="center"/>
      <protection locked="0"/>
    </xf>
    <xf numFmtId="0" fontId="2" fillId="0" borderId="1" xfId="0" applyFont="1" applyBorder="1" applyAlignment="1" applyProtection="1">
      <alignment horizontal="center" vertical="center" wrapText="1"/>
      <protection locked="0"/>
    </xf>
    <xf numFmtId="0" fontId="4" fillId="0" borderId="7" xfId="0" applyFont="1" applyFill="1" applyBorder="1" applyAlignment="1" applyProtection="1">
      <alignment horizontal="center" vertical="center" wrapText="1"/>
      <protection locked="0"/>
    </xf>
    <xf numFmtId="0" fontId="4" fillId="0" borderId="8" xfId="0" applyFont="1" applyFill="1" applyBorder="1" applyAlignment="1" applyProtection="1">
      <alignment horizontal="center" vertical="center"/>
      <protection locked="0"/>
    </xf>
    <xf numFmtId="0" fontId="4" fillId="0" borderId="9"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29" xfId="0" applyFont="1" applyBorder="1" applyAlignment="1" applyProtection="1">
      <alignment horizontal="center" vertical="center"/>
    </xf>
    <xf numFmtId="0" fontId="4" fillId="0" borderId="30" xfId="0" applyFont="1" applyBorder="1" applyAlignment="1" applyProtection="1">
      <alignment horizontal="center" vertical="center"/>
    </xf>
    <xf numFmtId="0" fontId="4" fillId="0" borderId="31" xfId="0" applyFont="1" applyBorder="1" applyAlignment="1" applyProtection="1">
      <alignment horizontal="center" vertical="center"/>
    </xf>
    <xf numFmtId="2" fontId="14" fillId="0" borderId="26" xfId="0" applyNumberFormat="1" applyFont="1" applyBorder="1" applyAlignment="1" applyProtection="1">
      <alignment horizontal="center" vertical="center"/>
    </xf>
    <xf numFmtId="2" fontId="14" fillId="0" borderId="27" xfId="0" applyNumberFormat="1" applyFont="1" applyBorder="1" applyAlignment="1" applyProtection="1">
      <alignment horizontal="center" vertical="center"/>
    </xf>
    <xf numFmtId="2" fontId="14" fillId="0" borderId="0" xfId="0" applyNumberFormat="1" applyFont="1" applyBorder="1" applyAlignment="1" applyProtection="1">
      <alignment horizontal="center" vertical="center"/>
    </xf>
    <xf numFmtId="2" fontId="14" fillId="0" borderId="22" xfId="0" applyNumberFormat="1" applyFont="1" applyBorder="1" applyAlignment="1" applyProtection="1">
      <alignment horizontal="center" vertical="center"/>
    </xf>
    <xf numFmtId="2" fontId="14" fillId="0" borderId="33" xfId="0" applyNumberFormat="1" applyFont="1" applyBorder="1" applyAlignment="1" applyProtection="1">
      <alignment horizontal="center" vertical="center"/>
    </xf>
    <xf numFmtId="0" fontId="8" fillId="0" borderId="0" xfId="0" applyFont="1" applyAlignment="1" applyProtection="1">
      <alignment horizontal="center" vertical="center" wrapText="1"/>
      <protection locked="0"/>
    </xf>
    <xf numFmtId="0" fontId="24" fillId="0" borderId="45" xfId="0" applyFont="1" applyBorder="1" applyAlignment="1" applyProtection="1">
      <alignment horizontal="center" vertical="center" wrapText="1"/>
      <protection locked="0"/>
    </xf>
    <xf numFmtId="0" fontId="24" fillId="0" borderId="46" xfId="0" applyFont="1" applyBorder="1" applyAlignment="1" applyProtection="1">
      <alignment horizontal="center" vertical="center" wrapText="1"/>
      <protection locked="0"/>
    </xf>
    <xf numFmtId="0" fontId="24" fillId="0" borderId="47" xfId="0" applyFont="1" applyBorder="1" applyAlignment="1" applyProtection="1">
      <alignment horizontal="center" vertical="center" wrapText="1"/>
      <protection locked="0"/>
    </xf>
    <xf numFmtId="165" fontId="24" fillId="0" borderId="4" xfId="0" applyNumberFormat="1" applyFont="1" applyBorder="1" applyAlignment="1" applyProtection="1">
      <alignment horizontal="center" vertical="center" wrapText="1"/>
      <protection locked="0"/>
    </xf>
    <xf numFmtId="165" fontId="24" fillId="0" borderId="5" xfId="0" applyNumberFormat="1" applyFont="1" applyBorder="1" applyAlignment="1" applyProtection="1">
      <alignment horizontal="center" vertical="center" wrapText="1"/>
      <protection locked="0"/>
    </xf>
    <xf numFmtId="165" fontId="24" fillId="0" borderId="6" xfId="0" applyNumberFormat="1" applyFont="1" applyBorder="1" applyAlignment="1" applyProtection="1">
      <alignment horizontal="center" vertical="center" wrapText="1"/>
      <protection locked="0"/>
    </xf>
    <xf numFmtId="0" fontId="24" fillId="0" borderId="4" xfId="0" applyFont="1" applyBorder="1" applyAlignment="1" applyProtection="1">
      <alignment horizontal="center" vertical="center" wrapText="1"/>
      <protection locked="0"/>
    </xf>
    <xf numFmtId="0" fontId="24" fillId="0" borderId="5" xfId="0" applyFont="1" applyBorder="1" applyAlignment="1" applyProtection="1">
      <alignment horizontal="center" vertical="center" wrapText="1"/>
      <protection locked="0"/>
    </xf>
    <xf numFmtId="0" fontId="24" fillId="0" borderId="6" xfId="0" applyFont="1" applyBorder="1" applyAlignment="1" applyProtection="1">
      <alignment horizontal="center" vertical="center" wrapText="1"/>
      <protection locked="0"/>
    </xf>
    <xf numFmtId="0" fontId="1" fillId="3" borderId="36" xfId="0" applyFont="1" applyFill="1" applyBorder="1" applyAlignment="1" applyProtection="1">
      <alignment horizontal="center" vertical="center" wrapText="1"/>
      <protection locked="0"/>
    </xf>
    <xf numFmtId="0" fontId="1" fillId="3" borderId="37" xfId="0" applyFont="1" applyFill="1" applyBorder="1" applyAlignment="1" applyProtection="1">
      <alignment horizontal="center" vertical="center" wrapText="1"/>
      <protection locked="0"/>
    </xf>
    <xf numFmtId="0" fontId="1" fillId="3" borderId="38" xfId="0" applyFont="1" applyFill="1" applyBorder="1" applyAlignment="1" applyProtection="1">
      <alignment horizontal="center" vertical="center" wrapText="1"/>
      <protection locked="0"/>
    </xf>
    <xf numFmtId="0" fontId="1" fillId="3" borderId="41" xfId="0" applyFont="1" applyFill="1" applyBorder="1" applyAlignment="1" applyProtection="1">
      <alignment horizontal="center" vertical="center" wrapText="1"/>
      <protection locked="0"/>
    </xf>
    <xf numFmtId="0" fontId="1" fillId="3" borderId="35" xfId="0" applyFont="1" applyFill="1" applyBorder="1" applyAlignment="1" applyProtection="1">
      <alignment horizontal="center" vertical="center" wrapText="1"/>
      <protection locked="0"/>
    </xf>
    <xf numFmtId="0" fontId="1" fillId="3" borderId="42" xfId="0" applyFont="1" applyFill="1" applyBorder="1" applyAlignment="1" applyProtection="1">
      <alignment horizontal="center" vertical="center" wrapText="1"/>
      <protection locked="0"/>
    </xf>
    <xf numFmtId="0" fontId="1" fillId="0" borderId="36" xfId="0" applyFont="1" applyBorder="1" applyAlignment="1" applyProtection="1">
      <alignment horizontal="center" vertical="center" wrapText="1"/>
      <protection locked="0"/>
    </xf>
    <xf numFmtId="0" fontId="1" fillId="0" borderId="37" xfId="0" applyFont="1" applyBorder="1" applyAlignment="1" applyProtection="1">
      <alignment horizontal="center" vertical="center" wrapText="1"/>
      <protection locked="0"/>
    </xf>
    <xf numFmtId="0" fontId="1" fillId="0" borderId="38" xfId="0" applyFont="1" applyBorder="1" applyAlignment="1" applyProtection="1">
      <alignment horizontal="center" vertical="center" wrapText="1"/>
      <protection locked="0"/>
    </xf>
    <xf numFmtId="0" fontId="1" fillId="0" borderId="41" xfId="0" applyFont="1" applyBorder="1" applyAlignment="1" applyProtection="1">
      <alignment horizontal="center" vertical="center" wrapText="1"/>
      <protection locked="0"/>
    </xf>
    <xf numFmtId="0" fontId="1" fillId="0" borderId="35" xfId="0" applyFont="1" applyBorder="1" applyAlignment="1" applyProtection="1">
      <alignment horizontal="center" vertical="center" wrapText="1"/>
      <protection locked="0"/>
    </xf>
    <xf numFmtId="0" fontId="1" fillId="0" borderId="42" xfId="0" applyFont="1" applyBorder="1" applyAlignment="1" applyProtection="1">
      <alignment horizontal="center" vertical="center" wrapText="1"/>
      <protection locked="0"/>
    </xf>
    <xf numFmtId="0" fontId="24" fillId="0" borderId="26" xfId="0" applyFont="1" applyBorder="1" applyAlignment="1" applyProtection="1">
      <alignment horizontal="center" vertical="center" wrapText="1"/>
      <protection locked="0"/>
    </xf>
    <xf numFmtId="0" fontId="24" fillId="0" borderId="27" xfId="0" applyFont="1" applyBorder="1" applyAlignment="1" applyProtection="1">
      <alignment horizontal="center" vertical="center" wrapText="1"/>
      <protection locked="0"/>
    </xf>
    <xf numFmtId="0" fontId="12" fillId="0" borderId="36" xfId="0" applyFont="1" applyBorder="1" applyAlignment="1" applyProtection="1">
      <alignment horizontal="center" vertical="center" wrapText="1"/>
    </xf>
    <xf numFmtId="0" fontId="12" fillId="0" borderId="37" xfId="0" applyFont="1" applyBorder="1" applyAlignment="1" applyProtection="1">
      <alignment horizontal="center" vertical="center" wrapText="1"/>
    </xf>
    <xf numFmtId="0" fontId="12" fillId="0" borderId="38" xfId="0" applyFont="1" applyBorder="1" applyAlignment="1" applyProtection="1">
      <alignment horizontal="center" vertical="center" wrapText="1"/>
    </xf>
    <xf numFmtId="0" fontId="1" fillId="0" borderId="50" xfId="0" applyFont="1" applyBorder="1" applyAlignment="1" applyProtection="1">
      <alignment horizontal="center" vertical="center" wrapText="1"/>
      <protection locked="0"/>
    </xf>
    <xf numFmtId="0" fontId="1" fillId="0" borderId="53" xfId="0" applyFont="1" applyBorder="1" applyAlignment="1" applyProtection="1">
      <alignment horizontal="center" vertical="center" wrapText="1"/>
      <protection locked="0"/>
    </xf>
    <xf numFmtId="0" fontId="24" fillId="0" borderId="48" xfId="0" applyFont="1" applyBorder="1" applyAlignment="1" applyProtection="1">
      <alignment horizontal="center" vertical="center" wrapText="1"/>
      <protection locked="0"/>
    </xf>
    <xf numFmtId="0" fontId="24" fillId="0" borderId="49" xfId="0" applyFont="1" applyBorder="1" applyAlignment="1" applyProtection="1">
      <alignment horizontal="center" vertical="center" wrapText="1"/>
      <protection locked="0"/>
    </xf>
    <xf numFmtId="0" fontId="24" fillId="0" borderId="50" xfId="0" applyFont="1" applyBorder="1" applyAlignment="1" applyProtection="1">
      <alignment horizontal="center" vertical="center" wrapText="1"/>
      <protection locked="0"/>
    </xf>
    <xf numFmtId="0" fontId="24" fillId="0" borderId="53" xfId="0" applyFont="1" applyBorder="1" applyAlignment="1" applyProtection="1">
      <alignment horizontal="center" vertical="center" wrapText="1"/>
      <protection locked="0"/>
    </xf>
    <xf numFmtId="0" fontId="1" fillId="0" borderId="39" xfId="0" applyFont="1" applyBorder="1" applyAlignment="1" applyProtection="1">
      <alignment horizontal="center" vertical="center" wrapText="1"/>
      <protection locked="0"/>
    </xf>
    <xf numFmtId="0" fontId="1" fillId="0" borderId="52" xfId="0" applyFont="1" applyBorder="1" applyAlignment="1" applyProtection="1">
      <alignment horizontal="center" vertical="center" wrapText="1"/>
      <protection locked="0"/>
    </xf>
    <xf numFmtId="0" fontId="1" fillId="0" borderId="44" xfId="0" applyFont="1" applyBorder="1" applyAlignment="1" applyProtection="1">
      <alignment horizontal="center" vertical="center" wrapText="1"/>
      <protection locked="0"/>
    </xf>
    <xf numFmtId="0" fontId="1" fillId="0" borderId="51" xfId="0" applyFont="1" applyBorder="1" applyAlignment="1" applyProtection="1">
      <alignment horizontal="center" vertical="center" wrapText="1"/>
      <protection locked="0"/>
    </xf>
    <xf numFmtId="0" fontId="4" fillId="0" borderId="4" xfId="0" applyNumberFormat="1" applyFont="1" applyBorder="1" applyAlignment="1" applyProtection="1">
      <alignment horizontal="center" vertical="center"/>
      <protection locked="0"/>
    </xf>
    <xf numFmtId="0" fontId="4" fillId="0" borderId="5" xfId="0" applyNumberFormat="1" applyFont="1" applyBorder="1" applyAlignment="1" applyProtection="1">
      <alignment horizontal="center" vertical="center"/>
      <protection locked="0"/>
    </xf>
    <xf numFmtId="0" fontId="4" fillId="0" borderId="6" xfId="0" applyNumberFormat="1" applyFont="1" applyBorder="1" applyAlignment="1" applyProtection="1">
      <alignment horizontal="center" vertical="center"/>
      <protection locked="0"/>
    </xf>
    <xf numFmtId="0" fontId="4" fillId="6" borderId="1" xfId="0" applyFont="1" applyFill="1" applyBorder="1" applyAlignment="1" applyProtection="1">
      <alignment horizontal="center" vertical="center" wrapText="1"/>
    </xf>
    <xf numFmtId="0" fontId="3" fillId="0" borderId="1" xfId="0" applyFont="1" applyBorder="1" applyAlignment="1" applyProtection="1">
      <alignment horizontal="center" vertical="center" wrapText="1"/>
    </xf>
    <xf numFmtId="0" fontId="4" fillId="7" borderId="1" xfId="0" applyFont="1" applyFill="1" applyBorder="1" applyAlignment="1" applyProtection="1">
      <alignment horizontal="center" vertical="center"/>
    </xf>
    <xf numFmtId="2" fontId="4" fillId="0" borderId="2" xfId="0" applyNumberFormat="1" applyFont="1" applyBorder="1" applyAlignment="1" applyProtection="1">
      <alignment horizontal="center" vertical="center"/>
    </xf>
    <xf numFmtId="9" fontId="4" fillId="0" borderId="1" xfId="0" applyNumberFormat="1" applyFont="1" applyBorder="1" applyAlignment="1" applyProtection="1">
      <alignment horizontal="center" vertical="center"/>
      <protection locked="0"/>
    </xf>
    <xf numFmtId="2" fontId="4" fillId="0" borderId="1" xfId="0" applyNumberFormat="1" applyFont="1" applyFill="1" applyBorder="1" applyAlignment="1" applyProtection="1">
      <alignment horizontal="center" vertical="center"/>
    </xf>
    <xf numFmtId="165" fontId="2" fillId="0" borderId="1" xfId="0" applyNumberFormat="1" applyFont="1" applyFill="1" applyBorder="1" applyAlignment="1" applyProtection="1">
      <alignment horizontal="center" vertical="center" wrapText="1"/>
    </xf>
    <xf numFmtId="0" fontId="4" fillId="0" borderId="4" xfId="0" applyFont="1" applyBorder="1" applyAlignment="1" applyProtection="1">
      <alignment horizontal="center" vertical="center" wrapText="1"/>
    </xf>
    <xf numFmtId="0" fontId="4" fillId="7" borderId="1" xfId="0" applyFont="1" applyFill="1" applyBorder="1" applyAlignment="1" applyProtection="1">
      <alignment horizontal="center" vertical="center" wrapText="1"/>
    </xf>
    <xf numFmtId="2" fontId="4" fillId="3" borderId="4" xfId="0" applyNumberFormat="1" applyFont="1" applyFill="1" applyBorder="1" applyAlignment="1" applyProtection="1">
      <alignment horizontal="center" vertical="center"/>
    </xf>
    <xf numFmtId="2" fontId="4" fillId="3" borderId="5" xfId="0" applyNumberFormat="1" applyFont="1" applyFill="1" applyBorder="1" applyAlignment="1" applyProtection="1">
      <alignment horizontal="center" vertical="center"/>
    </xf>
    <xf numFmtId="2" fontId="4" fillId="3" borderId="6" xfId="0" applyNumberFormat="1" applyFont="1" applyFill="1" applyBorder="1" applyAlignment="1" applyProtection="1">
      <alignment horizontal="center" vertical="center"/>
    </xf>
    <xf numFmtId="0" fontId="4" fillId="0" borderId="11" xfId="0" applyFont="1" applyFill="1" applyBorder="1" applyAlignment="1" applyProtection="1">
      <alignment horizontal="center" vertical="center"/>
      <protection locked="0"/>
    </xf>
    <xf numFmtId="0" fontId="4" fillId="0" borderId="12" xfId="0" applyFont="1" applyFill="1" applyBorder="1" applyAlignment="1" applyProtection="1">
      <alignment horizontal="center" vertical="center"/>
      <protection locked="0"/>
    </xf>
    <xf numFmtId="0" fontId="4" fillId="0" borderId="7" xfId="0" applyFont="1" applyBorder="1" applyAlignment="1" applyProtection="1">
      <alignment horizontal="center" vertical="center"/>
    </xf>
    <xf numFmtId="0" fontId="4" fillId="0" borderId="9" xfId="0" applyFont="1" applyBorder="1" applyAlignment="1" applyProtection="1">
      <alignment horizontal="center" vertical="center"/>
    </xf>
    <xf numFmtId="0" fontId="4" fillId="0" borderId="11" xfId="0" applyFont="1" applyBorder="1" applyAlignment="1" applyProtection="1">
      <alignment horizontal="center" vertical="center"/>
    </xf>
    <xf numFmtId="2" fontId="23" fillId="0" borderId="4" xfId="0" applyNumberFormat="1" applyFont="1" applyBorder="1" applyAlignment="1">
      <alignment horizontal="center" vertical="center"/>
    </xf>
    <xf numFmtId="2" fontId="23" fillId="0" borderId="5" xfId="0" applyNumberFormat="1" applyFont="1" applyBorder="1" applyAlignment="1">
      <alignment horizontal="center" vertical="center"/>
    </xf>
    <xf numFmtId="2" fontId="23" fillId="0" borderId="9" xfId="0" applyNumberFormat="1" applyFont="1" applyBorder="1" applyAlignment="1">
      <alignment horizontal="center" vertical="center"/>
    </xf>
    <xf numFmtId="2" fontId="23" fillId="0" borderId="6" xfId="0" applyNumberFormat="1" applyFont="1" applyBorder="1" applyAlignment="1">
      <alignment horizontal="center" vertical="center"/>
    </xf>
    <xf numFmtId="9" fontId="4" fillId="0" borderId="4" xfId="1" applyFont="1" applyBorder="1" applyAlignment="1" applyProtection="1">
      <alignment horizontal="center" vertical="center"/>
      <protection locked="0"/>
    </xf>
    <xf numFmtId="9" fontId="4" fillId="0" borderId="5" xfId="1" applyFont="1" applyBorder="1" applyAlignment="1" applyProtection="1">
      <alignment horizontal="center" vertical="center"/>
      <protection locked="0"/>
    </xf>
    <xf numFmtId="9" fontId="4" fillId="0" borderId="6" xfId="1" applyFont="1" applyBorder="1" applyAlignment="1" applyProtection="1">
      <alignment horizontal="center" vertical="center"/>
      <protection locked="0"/>
    </xf>
    <xf numFmtId="165" fontId="22" fillId="0" borderId="4" xfId="0" applyNumberFormat="1" applyFont="1" applyBorder="1" applyAlignment="1" applyProtection="1">
      <alignment horizontal="center" vertical="center" wrapText="1"/>
      <protection locked="0"/>
    </xf>
    <xf numFmtId="165" fontId="22" fillId="0" borderId="5" xfId="0" applyNumberFormat="1" applyFont="1" applyBorder="1" applyAlignment="1" applyProtection="1">
      <alignment horizontal="center" vertical="center" wrapText="1"/>
      <protection locked="0"/>
    </xf>
    <xf numFmtId="165" fontId="22" fillId="0" borderId="6" xfId="0" applyNumberFormat="1" applyFont="1" applyBorder="1" applyAlignment="1" applyProtection="1">
      <alignment horizontal="center" vertical="center" wrapText="1"/>
      <protection locked="0"/>
    </xf>
    <xf numFmtId="0" fontId="4" fillId="0" borderId="7" xfId="0" applyFont="1" applyFill="1" applyBorder="1" applyAlignment="1" applyProtection="1">
      <alignment horizontal="center" vertical="center"/>
      <protection locked="0"/>
    </xf>
    <xf numFmtId="9" fontId="25" fillId="0" borderId="1" xfId="1" applyFont="1" applyBorder="1" applyAlignment="1" applyProtection="1">
      <alignment horizontal="center" vertical="center"/>
      <protection locked="0"/>
    </xf>
    <xf numFmtId="0" fontId="4" fillId="3" borderId="4" xfId="0" applyFont="1" applyFill="1" applyBorder="1" applyAlignment="1" applyProtection="1">
      <alignment horizontal="center" vertical="center" wrapText="1"/>
      <protection locked="0"/>
    </xf>
    <xf numFmtId="0" fontId="4" fillId="3" borderId="5" xfId="0" applyFont="1" applyFill="1" applyBorder="1" applyAlignment="1" applyProtection="1">
      <alignment horizontal="center" vertical="center" wrapText="1"/>
      <protection locked="0"/>
    </xf>
    <xf numFmtId="0" fontId="4" fillId="3" borderId="6" xfId="0" applyFont="1" applyFill="1" applyBorder="1" applyAlignment="1" applyProtection="1">
      <alignment horizontal="center" vertical="center" wrapText="1"/>
      <protection locked="0"/>
    </xf>
    <xf numFmtId="9" fontId="4" fillId="0" borderId="1" xfId="1" applyFont="1" applyBorder="1" applyAlignment="1" applyProtection="1">
      <alignment horizontal="center" vertical="center"/>
      <protection locked="0"/>
    </xf>
    <xf numFmtId="2" fontId="11" fillId="0" borderId="7" xfId="0" applyNumberFormat="1" applyFont="1" applyBorder="1" applyAlignment="1" applyProtection="1">
      <alignment horizontal="center" vertical="center"/>
    </xf>
    <xf numFmtId="2" fontId="11" fillId="0" borderId="9" xfId="0" applyNumberFormat="1" applyFont="1" applyBorder="1" applyAlignment="1" applyProtection="1">
      <alignment horizontal="center" vertical="center"/>
    </xf>
    <xf numFmtId="2" fontId="11" fillId="0" borderId="30" xfId="0" applyNumberFormat="1" applyFont="1" applyBorder="1" applyAlignment="1" applyProtection="1">
      <alignment horizontal="center" vertical="center"/>
    </xf>
    <xf numFmtId="2" fontId="11" fillId="0" borderId="11" xfId="0" applyNumberFormat="1" applyFont="1" applyBorder="1" applyAlignment="1" applyProtection="1">
      <alignment horizontal="center" vertical="center"/>
    </xf>
    <xf numFmtId="0" fontId="13" fillId="0" borderId="36" xfId="0" applyFont="1" applyBorder="1" applyAlignment="1" applyProtection="1">
      <alignment horizontal="center" vertical="center" wrapText="1"/>
    </xf>
    <xf numFmtId="0" fontId="13" fillId="0" borderId="37" xfId="0" applyFont="1" applyBorder="1" applyAlignment="1" applyProtection="1">
      <alignment horizontal="center" vertical="center" wrapText="1"/>
    </xf>
    <xf numFmtId="0" fontId="13" fillId="0" borderId="38" xfId="0" applyFont="1" applyBorder="1" applyAlignment="1" applyProtection="1">
      <alignment horizontal="center" vertical="center" wrapText="1"/>
    </xf>
    <xf numFmtId="0" fontId="1" fillId="0" borderId="36" xfId="0" applyFont="1" applyBorder="1" applyAlignment="1" applyProtection="1">
      <alignment horizontal="center"/>
      <protection locked="0"/>
    </xf>
    <xf numFmtId="0" fontId="1" fillId="0" borderId="37" xfId="0" applyFont="1" applyBorder="1" applyAlignment="1" applyProtection="1">
      <alignment horizontal="center"/>
      <protection locked="0"/>
    </xf>
    <xf numFmtId="0" fontId="1" fillId="0" borderId="38" xfId="0" applyFont="1" applyBorder="1" applyAlignment="1" applyProtection="1">
      <alignment horizontal="center"/>
      <protection locked="0"/>
    </xf>
    <xf numFmtId="0" fontId="1" fillId="0" borderId="39" xfId="0" applyFont="1" applyBorder="1" applyAlignment="1" applyProtection="1">
      <alignment horizontal="center"/>
      <protection locked="0"/>
    </xf>
    <xf numFmtId="0" fontId="1" fillId="3" borderId="41" xfId="0" applyFont="1" applyFill="1" applyBorder="1" applyAlignment="1" applyProtection="1">
      <alignment horizontal="center"/>
      <protection locked="0"/>
    </xf>
    <xf numFmtId="0" fontId="1" fillId="3" borderId="35" xfId="0" applyFont="1" applyFill="1" applyBorder="1" applyAlignment="1" applyProtection="1">
      <alignment horizontal="center"/>
      <protection locked="0"/>
    </xf>
    <xf numFmtId="0" fontId="1" fillId="3" borderId="42" xfId="0" applyFont="1" applyFill="1" applyBorder="1" applyAlignment="1" applyProtection="1">
      <alignment horizontal="center"/>
      <protection locked="0"/>
    </xf>
    <xf numFmtId="0" fontId="1" fillId="3" borderId="36" xfId="0" applyFont="1" applyFill="1" applyBorder="1" applyAlignment="1" applyProtection="1">
      <alignment horizontal="center"/>
      <protection locked="0"/>
    </xf>
    <xf numFmtId="0" fontId="1" fillId="3" borderId="37" xfId="0" applyFont="1" applyFill="1" applyBorder="1" applyAlignment="1" applyProtection="1">
      <alignment horizontal="center"/>
      <protection locked="0"/>
    </xf>
    <xf numFmtId="0" fontId="1" fillId="3" borderId="38" xfId="0" applyFont="1" applyFill="1" applyBorder="1" applyAlignment="1" applyProtection="1">
      <alignment horizontal="center"/>
      <protection locked="0"/>
    </xf>
    <xf numFmtId="0" fontId="24" fillId="0" borderId="36" xfId="0" applyFont="1" applyBorder="1" applyAlignment="1" applyProtection="1">
      <alignment horizontal="center" vertical="center" wrapText="1"/>
      <protection locked="0"/>
    </xf>
    <xf numFmtId="0" fontId="24" fillId="0" borderId="37" xfId="0" applyFont="1" applyBorder="1" applyAlignment="1" applyProtection="1">
      <alignment horizontal="center" vertical="center" wrapText="1"/>
      <protection locked="0"/>
    </xf>
    <xf numFmtId="0" fontId="24" fillId="0" borderId="38" xfId="0" applyFont="1" applyBorder="1" applyAlignment="1" applyProtection="1">
      <alignment horizontal="center" vertical="center" wrapText="1"/>
      <protection locked="0"/>
    </xf>
    <xf numFmtId="0" fontId="8" fillId="0" borderId="0" xfId="0" applyFont="1" applyAlignment="1">
      <alignment horizontal="center" vertical="center" wrapText="1"/>
    </xf>
    <xf numFmtId="0" fontId="18" fillId="5" borderId="17" xfId="0" applyFont="1" applyFill="1" applyBorder="1" applyAlignment="1">
      <alignment horizontal="center" vertical="center" textRotation="90" wrapText="1"/>
    </xf>
    <xf numFmtId="2" fontId="6" fillId="0" borderId="14" xfId="0" applyNumberFormat="1" applyFont="1" applyBorder="1" applyAlignment="1">
      <alignment horizontal="center" vertical="center" wrapText="1"/>
    </xf>
    <xf numFmtId="0" fontId="6" fillId="0" borderId="19" xfId="0" applyFont="1" applyBorder="1" applyAlignment="1">
      <alignment horizontal="center" vertical="center" wrapText="1"/>
    </xf>
    <xf numFmtId="0" fontId="6" fillId="0" borderId="21" xfId="0" applyFont="1" applyBorder="1" applyAlignment="1">
      <alignment horizontal="center" vertical="center" wrapText="1"/>
    </xf>
    <xf numFmtId="0" fontId="18" fillId="5" borderId="0" xfId="0" applyFont="1" applyFill="1" applyBorder="1" applyAlignment="1">
      <alignment horizontal="center" vertical="center" wrapText="1"/>
    </xf>
    <xf numFmtId="2" fontId="21" fillId="0" borderId="13" xfId="0" applyNumberFormat="1" applyFont="1" applyBorder="1" applyAlignment="1">
      <alignment horizontal="center" vertical="center"/>
    </xf>
    <xf numFmtId="0" fontId="21" fillId="0" borderId="17" xfId="0" applyFont="1" applyBorder="1" applyAlignment="1">
      <alignment horizontal="center" vertical="center"/>
    </xf>
    <xf numFmtId="0" fontId="21" fillId="0" borderId="20" xfId="0" applyFont="1" applyBorder="1" applyAlignment="1">
      <alignment horizontal="center" vertical="center"/>
    </xf>
    <xf numFmtId="0" fontId="18" fillId="5" borderId="19" xfId="0" applyFont="1" applyFill="1" applyBorder="1" applyAlignment="1">
      <alignment horizontal="center" vertical="center" wrapText="1"/>
    </xf>
  </cellXfs>
  <cellStyles count="3">
    <cellStyle name="Millares" xfId="2" builtinId="3"/>
    <cellStyle name="Normal" xfId="0" builtinId="0"/>
    <cellStyle name="Porcentaje" xfId="1" builtinId="5"/>
  </cellStyles>
  <dxfs count="3">
    <dxf>
      <fill>
        <patternFill>
          <bgColor theme="5" tint="0.39994506668294322"/>
        </patternFill>
      </fill>
    </dxf>
    <dxf>
      <fill>
        <patternFill>
          <bgColor theme="5" tint="0.59996337778862885"/>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latin typeface="Arial" panose="020B0604020202020204" pitchFamily="34" charset="0"/>
                <a:cs typeface="Arial" panose="020B0604020202020204" pitchFamily="34" charset="0"/>
              </a:defRPr>
            </a:pPr>
            <a:r>
              <a:rPr lang="es-EC">
                <a:latin typeface="Arial" panose="020B0604020202020204" pitchFamily="34" charset="0"/>
                <a:cs typeface="Arial" panose="020B0604020202020204" pitchFamily="34" charset="0"/>
              </a:rPr>
              <a:t>Calidad Total</a:t>
            </a:r>
            <a:r>
              <a:rPr lang="es-EC" baseline="0">
                <a:latin typeface="Arial" panose="020B0604020202020204" pitchFamily="34" charset="0"/>
                <a:cs typeface="Arial" panose="020B0604020202020204" pitchFamily="34" charset="0"/>
              </a:rPr>
              <a:t> obtenida de la evaluación de calidad al sistema  LogiNotificador</a:t>
            </a:r>
            <a:endParaRPr lang="es-EC">
              <a:latin typeface="Arial" panose="020B0604020202020204" pitchFamily="34" charset="0"/>
              <a:cs typeface="Arial" panose="020B0604020202020204" pitchFamily="34" charset="0"/>
            </a:endParaRPr>
          </a:p>
        </c:rich>
      </c:tx>
      <c:overlay val="0"/>
    </c:title>
    <c:autoTitleDeleted val="0"/>
    <c:view3D>
      <c:rotX val="30"/>
      <c:rotY val="0"/>
      <c:rAngAx val="0"/>
    </c:view3D>
    <c:floor>
      <c:thickness val="0"/>
    </c:floor>
    <c:sideWall>
      <c:thickness val="0"/>
    </c:sideWall>
    <c:backWall>
      <c:thickness val="0"/>
    </c:backWall>
    <c:plotArea>
      <c:layout/>
      <c:pie3DChart>
        <c:varyColors val="1"/>
        <c:ser>
          <c:idx val="0"/>
          <c:order val="0"/>
          <c:dLbls>
            <c:dLbl>
              <c:idx val="0"/>
              <c:numFmt formatCode="0%" sourceLinked="0"/>
              <c:spPr/>
              <c:txPr>
                <a:bodyPr/>
                <a:lstStyle/>
                <a:p>
                  <a:pPr>
                    <a:defRPr sz="1200" b="1">
                      <a:solidFill>
                        <a:schemeClr val="bg1"/>
                      </a:solidFill>
                      <a:latin typeface="Arial" panose="020B0604020202020204" pitchFamily="34" charset="0"/>
                      <a:cs typeface="Arial" panose="020B0604020202020204" pitchFamily="34" charset="0"/>
                    </a:defRPr>
                  </a:pPr>
                  <a:endParaRPr lang="es-ES"/>
                </a:p>
              </c:txPr>
              <c:showLegendKey val="0"/>
              <c:showVal val="0"/>
              <c:showCatName val="0"/>
              <c:showSerName val="0"/>
              <c:showPercent val="1"/>
              <c:showBubbleSize val="0"/>
              <c:extLst>
                <c:ext xmlns:c16="http://schemas.microsoft.com/office/drawing/2014/chart" uri="{C3380CC4-5D6E-409C-BE32-E72D297353CC}">
                  <c16:uniqueId val="{00000000-3AEA-45A3-A4A6-B157B9FB9C7E}"/>
                </c:ext>
              </c:extLst>
            </c:dLbl>
            <c:dLbl>
              <c:idx val="1"/>
              <c:tx>
                <c:rich>
                  <a:bodyPr/>
                  <a:lstStyle/>
                  <a:p>
                    <a:r>
                      <a:rPr lang="en-US" sz="1200" b="1">
                        <a:solidFill>
                          <a:schemeClr val="bg1"/>
                        </a:solidFill>
                        <a:latin typeface="Arial" panose="020B0604020202020204" pitchFamily="34" charset="0"/>
                        <a:cs typeface="Arial" panose="020B0604020202020204" pitchFamily="34" charset="0"/>
                      </a:rPr>
                      <a:t>17%</a:t>
                    </a:r>
                    <a:endParaRPr lang="en-US"/>
                  </a:p>
                </c:rich>
              </c:tx>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AEA-45A3-A4A6-B157B9FB9C7E}"/>
                </c:ext>
              </c:extLst>
            </c:dLbl>
            <c:numFmt formatCode="0.00%" sourceLinked="0"/>
            <c:spPr>
              <a:noFill/>
              <a:ln>
                <a:noFill/>
              </a:ln>
              <a:effectLst/>
            </c:spPr>
            <c:txPr>
              <a:bodyPr/>
              <a:lstStyle/>
              <a:p>
                <a:pPr>
                  <a:defRPr sz="1200" b="1">
                    <a:solidFill>
                      <a:schemeClr val="bg1"/>
                    </a:solidFill>
                    <a:latin typeface="Arial" panose="020B0604020202020204" pitchFamily="34" charset="0"/>
                    <a:cs typeface="Arial" panose="020B0604020202020204" pitchFamily="34" charset="0"/>
                  </a:defRPr>
                </a:pPr>
                <a:endParaRPr lang="es-ES"/>
              </a:p>
            </c:txPr>
            <c:showLegendKey val="0"/>
            <c:showVal val="0"/>
            <c:showCatName val="0"/>
            <c:showSerName val="0"/>
            <c:showPercent val="1"/>
            <c:showBubbleSize val="0"/>
            <c:showLeaderLines val="1"/>
            <c:extLst>
              <c:ext xmlns:c15="http://schemas.microsoft.com/office/drawing/2012/chart" uri="{CE6537A1-D6FC-4f65-9D91-7224C49458BB}"/>
            </c:extLst>
          </c:dLbls>
          <c:cat>
            <c:strRef>
              <c:f>Hoja1!$E$4:$F$4</c:f>
              <c:strCache>
                <c:ptCount val="2"/>
                <c:pt idx="0">
                  <c:v>Calidad Obtenida</c:v>
                </c:pt>
                <c:pt idx="1">
                  <c:v>Calidad Faltante</c:v>
                </c:pt>
              </c:strCache>
            </c:strRef>
          </c:cat>
          <c:val>
            <c:numRef>
              <c:f>Hoja1!$E$5:$F$5</c:f>
              <c:numCache>
                <c:formatCode>0%</c:formatCode>
                <c:ptCount val="2"/>
                <c:pt idx="0">
                  <c:v>0.52121437142116855</c:v>
                </c:pt>
                <c:pt idx="1">
                  <c:v>0.17</c:v>
                </c:pt>
              </c:numCache>
            </c:numRef>
          </c:val>
          <c:extLst>
            <c:ext xmlns:c16="http://schemas.microsoft.com/office/drawing/2014/chart" uri="{C3380CC4-5D6E-409C-BE32-E72D297353CC}">
              <c16:uniqueId val="{00000002-3AEA-45A3-A4A6-B157B9FB9C7E}"/>
            </c:ext>
          </c:extLst>
        </c:ser>
        <c:dLbls>
          <c:showLegendKey val="0"/>
          <c:showVal val="0"/>
          <c:showCatName val="0"/>
          <c:showSerName val="0"/>
          <c:showPercent val="1"/>
          <c:showBubbleSize val="0"/>
          <c:showLeaderLines val="1"/>
        </c:dLbls>
      </c:pie3DChart>
    </c:plotArea>
    <c:legend>
      <c:legendPos val="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a:lstStyle/>
          <a:p>
            <a:pPr>
              <a:defRPr/>
            </a:pPr>
            <a:r>
              <a:rPr lang="es-EC"/>
              <a:t>Calidad Interna, Externa y en Uso del sistema LogiNotificador</a:t>
            </a:r>
          </a:p>
        </c:rich>
      </c:tx>
      <c:overlay val="0"/>
    </c:title>
    <c:autoTitleDeleted val="0"/>
    <c:view3D>
      <c:rotX val="15"/>
      <c:rotY val="20"/>
      <c:rAngAx val="1"/>
    </c:view3D>
    <c:floor>
      <c:thickness val="0"/>
    </c:floor>
    <c:sideWall>
      <c:thickness val="0"/>
    </c:sideWall>
    <c:backWall>
      <c:thickness val="0"/>
    </c:backWall>
    <c:plotArea>
      <c:layout/>
      <c:bar3DChart>
        <c:barDir val="col"/>
        <c:grouping val="stacked"/>
        <c:varyColors val="0"/>
        <c:ser>
          <c:idx val="0"/>
          <c:order val="0"/>
          <c:tx>
            <c:v>Porcentaje de Calidad obtenido</c:v>
          </c:tx>
          <c:invertIfNegative val="0"/>
          <c:dPt>
            <c:idx val="3"/>
            <c:invertIfNegative val="0"/>
            <c:bubble3D val="0"/>
            <c:spPr>
              <a:solidFill>
                <a:srgbClr val="C00000"/>
              </a:solidFill>
            </c:spPr>
            <c:extLst>
              <c:ext xmlns:c16="http://schemas.microsoft.com/office/drawing/2014/chart" uri="{C3380CC4-5D6E-409C-BE32-E72D297353CC}">
                <c16:uniqueId val="{00000001-61E1-4B9F-8946-D902D9EAA7C5}"/>
              </c:ext>
            </c:extLst>
          </c:dPt>
          <c:cat>
            <c:strRef>
              <c:f>Hoja1!$B$26:$B$29</c:f>
              <c:strCache>
                <c:ptCount val="4"/>
                <c:pt idx="0">
                  <c:v>Calidad Interna</c:v>
                </c:pt>
                <c:pt idx="1">
                  <c:v>Calidad Externa</c:v>
                </c:pt>
                <c:pt idx="2">
                  <c:v>Calidad en Uso</c:v>
                </c:pt>
                <c:pt idx="3">
                  <c:v>Calidad Total</c:v>
                </c:pt>
              </c:strCache>
            </c:strRef>
          </c:cat>
          <c:val>
            <c:numRef>
              <c:f>Hoja1!$D$26:$D$29</c:f>
              <c:numCache>
                <c:formatCode>0%</c:formatCode>
                <c:ptCount val="4"/>
                <c:pt idx="0">
                  <c:v>0.53741692001621444</c:v>
                </c:pt>
                <c:pt idx="1">
                  <c:v>0.37733730535840238</c:v>
                </c:pt>
                <c:pt idx="2">
                  <c:v>0.64888888888888885</c:v>
                </c:pt>
                <c:pt idx="3">
                  <c:v>0.52121437142116855</c:v>
                </c:pt>
              </c:numCache>
            </c:numRef>
          </c:val>
          <c:extLst>
            <c:ext xmlns:c16="http://schemas.microsoft.com/office/drawing/2014/chart" uri="{C3380CC4-5D6E-409C-BE32-E72D297353CC}">
              <c16:uniqueId val="{00000002-61E1-4B9F-8946-D902D9EAA7C5}"/>
            </c:ext>
          </c:extLst>
        </c:ser>
        <c:dLbls>
          <c:showLegendKey val="0"/>
          <c:showVal val="0"/>
          <c:showCatName val="0"/>
          <c:showSerName val="0"/>
          <c:showPercent val="0"/>
          <c:showBubbleSize val="0"/>
        </c:dLbls>
        <c:gapWidth val="95"/>
        <c:gapDepth val="95"/>
        <c:shape val="box"/>
        <c:axId val="96919552"/>
        <c:axId val="101587712"/>
        <c:axId val="0"/>
      </c:bar3DChart>
      <c:catAx>
        <c:axId val="96919552"/>
        <c:scaling>
          <c:orientation val="minMax"/>
        </c:scaling>
        <c:delete val="0"/>
        <c:axPos val="b"/>
        <c:numFmt formatCode="General" sourceLinked="0"/>
        <c:majorTickMark val="none"/>
        <c:minorTickMark val="none"/>
        <c:tickLblPos val="nextTo"/>
        <c:txPr>
          <a:bodyPr rot="0" vert="horz"/>
          <a:lstStyle/>
          <a:p>
            <a:pPr>
              <a:defRPr/>
            </a:pPr>
            <a:endParaRPr lang="es-ES"/>
          </a:p>
        </c:txPr>
        <c:crossAx val="101587712"/>
        <c:crosses val="autoZero"/>
        <c:auto val="0"/>
        <c:lblAlgn val="ctr"/>
        <c:lblOffset val="100"/>
        <c:noMultiLvlLbl val="0"/>
      </c:catAx>
      <c:valAx>
        <c:axId val="101587712"/>
        <c:scaling>
          <c:orientation val="minMax"/>
        </c:scaling>
        <c:delete val="0"/>
        <c:axPos val="l"/>
        <c:majorGridlines/>
        <c:title>
          <c:tx>
            <c:rich>
              <a:bodyPr/>
              <a:lstStyle/>
              <a:p>
                <a:pPr>
                  <a:defRPr/>
                </a:pPr>
                <a:r>
                  <a:rPr lang="es-EC"/>
                  <a:t>Valor obtenido</a:t>
                </a:r>
              </a:p>
            </c:rich>
          </c:tx>
          <c:layout>
            <c:manualLayout>
              <c:xMode val="edge"/>
              <c:yMode val="edge"/>
              <c:x val="0.21110459772970019"/>
              <c:y val="0.42540960503345943"/>
            </c:manualLayout>
          </c:layout>
          <c:overlay val="0"/>
        </c:title>
        <c:numFmt formatCode="0%" sourceLinked="1"/>
        <c:majorTickMark val="none"/>
        <c:minorTickMark val="none"/>
        <c:tickLblPos val="nextTo"/>
        <c:crossAx val="96919552"/>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Arial" panose="020B0604020202020204" pitchFamily="34" charset="0"/>
                <a:cs typeface="Arial" panose="020B0604020202020204" pitchFamily="34" charset="0"/>
              </a:defRPr>
            </a:pPr>
            <a:r>
              <a:rPr lang="en-US" sz="1400">
                <a:latin typeface="Arial" panose="020B0604020202020204" pitchFamily="34" charset="0"/>
                <a:cs typeface="Arial" panose="020B0604020202020204" pitchFamily="34" charset="0"/>
              </a:rPr>
              <a:t>Calidad interna</a:t>
            </a:r>
            <a:r>
              <a:rPr lang="en-US" sz="1400" baseline="0">
                <a:latin typeface="Arial" panose="020B0604020202020204" pitchFamily="34" charset="0"/>
                <a:cs typeface="Arial" panose="020B0604020202020204" pitchFamily="34" charset="0"/>
              </a:rPr>
              <a:t> total obtenida del sistema LogiNotificador</a:t>
            </a:r>
            <a:endParaRPr lang="en-US" sz="1400">
              <a:latin typeface="Arial" panose="020B0604020202020204" pitchFamily="34" charset="0"/>
              <a:cs typeface="Arial" panose="020B0604020202020204" pitchFamily="34" charset="0"/>
            </a:endParaRPr>
          </a:p>
        </c:rich>
      </c:tx>
      <c:overlay val="0"/>
    </c:title>
    <c:autoTitleDeleted val="0"/>
    <c:view3D>
      <c:rotX val="15"/>
      <c:rotY val="20"/>
      <c:rAngAx val="1"/>
    </c:view3D>
    <c:floor>
      <c:thickness val="0"/>
    </c:floor>
    <c:sideWall>
      <c:thickness val="0"/>
    </c:sideWall>
    <c:backWall>
      <c:thickness val="0"/>
    </c:backWall>
    <c:plotArea>
      <c:layout>
        <c:manualLayout>
          <c:layoutTarget val="inner"/>
          <c:xMode val="edge"/>
          <c:yMode val="edge"/>
          <c:x val="0.18837739427836508"/>
          <c:y val="0.18421261387928831"/>
          <c:w val="0.80647184429768271"/>
          <c:h val="0.52512321376494608"/>
        </c:manualLayout>
      </c:layout>
      <c:bar3DChart>
        <c:barDir val="col"/>
        <c:grouping val="stacked"/>
        <c:varyColors val="0"/>
        <c:ser>
          <c:idx val="0"/>
          <c:order val="0"/>
          <c:tx>
            <c:v>Valor obtenido</c:v>
          </c:tx>
          <c:invertIfNegative val="0"/>
          <c:dPt>
            <c:idx val="0"/>
            <c:invertIfNegative val="0"/>
            <c:bubble3D val="0"/>
            <c:spPr>
              <a:solidFill>
                <a:srgbClr val="C00000"/>
              </a:solidFill>
            </c:spPr>
            <c:extLst>
              <c:ext xmlns:c16="http://schemas.microsoft.com/office/drawing/2014/chart" uri="{C3380CC4-5D6E-409C-BE32-E72D297353CC}">
                <c16:uniqueId val="{00000001-8867-49E3-B031-D0D202E13771}"/>
              </c:ext>
            </c:extLst>
          </c:dPt>
          <c:cat>
            <c:strRef>
              <c:f>Hoja2!$K$5:$K$12</c:f>
              <c:strCache>
                <c:ptCount val="8"/>
                <c:pt idx="0">
                  <c:v>Adecuación funcional</c:v>
                </c:pt>
                <c:pt idx="1">
                  <c:v>Fiabilidad</c:v>
                </c:pt>
                <c:pt idx="2">
                  <c:v>Eficiencia en el desempeño</c:v>
                </c:pt>
                <c:pt idx="3">
                  <c:v>Facilidad de uso</c:v>
                </c:pt>
                <c:pt idx="4">
                  <c:v>Seguridad</c:v>
                </c:pt>
                <c:pt idx="5">
                  <c:v>Compatibilidad</c:v>
                </c:pt>
                <c:pt idx="6">
                  <c:v>Mantenibilidad</c:v>
                </c:pt>
                <c:pt idx="7">
                  <c:v>Portabilidad</c:v>
                </c:pt>
              </c:strCache>
            </c:strRef>
          </c:cat>
          <c:val>
            <c:numRef>
              <c:f>Hoja2!$L$5:$L$12</c:f>
              <c:numCache>
                <c:formatCode>0%</c:formatCode>
                <c:ptCount val="8"/>
                <c:pt idx="0">
                  <c:v>0.2</c:v>
                </c:pt>
                <c:pt idx="1">
                  <c:v>0.1</c:v>
                </c:pt>
                <c:pt idx="2">
                  <c:v>8.3999999999999991E-2</c:v>
                </c:pt>
                <c:pt idx="3">
                  <c:v>0.11294999999999999</c:v>
                </c:pt>
                <c:pt idx="4">
                  <c:v>1.67E-2</c:v>
                </c:pt>
                <c:pt idx="5">
                  <c:v>0.05</c:v>
                </c:pt>
                <c:pt idx="6">
                  <c:v>0.17299999999999999</c:v>
                </c:pt>
                <c:pt idx="7">
                  <c:v>0</c:v>
                </c:pt>
              </c:numCache>
            </c:numRef>
          </c:val>
          <c:extLst>
            <c:ext xmlns:c16="http://schemas.microsoft.com/office/drawing/2014/chart" uri="{C3380CC4-5D6E-409C-BE32-E72D297353CC}">
              <c16:uniqueId val="{00000002-8867-49E3-B031-D0D202E13771}"/>
            </c:ext>
          </c:extLst>
        </c:ser>
        <c:dLbls>
          <c:showLegendKey val="0"/>
          <c:showVal val="0"/>
          <c:showCatName val="0"/>
          <c:showSerName val="0"/>
          <c:showPercent val="0"/>
          <c:showBubbleSize val="0"/>
        </c:dLbls>
        <c:gapWidth val="95"/>
        <c:gapDepth val="95"/>
        <c:shape val="box"/>
        <c:axId val="96921088"/>
        <c:axId val="96813632"/>
        <c:axId val="0"/>
      </c:bar3DChart>
      <c:catAx>
        <c:axId val="96921088"/>
        <c:scaling>
          <c:orientation val="minMax"/>
        </c:scaling>
        <c:delete val="0"/>
        <c:axPos val="b"/>
        <c:numFmt formatCode="General" sourceLinked="0"/>
        <c:majorTickMark val="none"/>
        <c:minorTickMark val="none"/>
        <c:tickLblPos val="nextTo"/>
        <c:spPr>
          <a:ln w="9525"/>
        </c:spPr>
        <c:crossAx val="96813632"/>
        <c:crosses val="autoZero"/>
        <c:auto val="1"/>
        <c:lblAlgn val="ctr"/>
        <c:lblOffset val="100"/>
        <c:noMultiLvlLbl val="0"/>
      </c:catAx>
      <c:valAx>
        <c:axId val="96813632"/>
        <c:scaling>
          <c:orientation val="minMax"/>
          <c:max val="0.25"/>
          <c:min val="0"/>
        </c:scaling>
        <c:delete val="0"/>
        <c:axPos val="l"/>
        <c:majorGridlines/>
        <c:title>
          <c:tx>
            <c:rich>
              <a:bodyPr/>
              <a:lstStyle/>
              <a:p>
                <a:pPr>
                  <a:defRPr/>
                </a:pPr>
                <a:r>
                  <a:rPr lang="es-EC"/>
                  <a:t>Valor obtenido</a:t>
                </a:r>
              </a:p>
            </c:rich>
          </c:tx>
          <c:layout>
            <c:manualLayout>
              <c:xMode val="edge"/>
              <c:yMode val="edge"/>
              <c:x val="9.8439508812642698E-2"/>
              <c:y val="0.2981299212598425"/>
            </c:manualLayout>
          </c:layout>
          <c:overlay val="0"/>
        </c:title>
        <c:numFmt formatCode="0%" sourceLinked="1"/>
        <c:majorTickMark val="none"/>
        <c:minorTickMark val="none"/>
        <c:tickLblPos val="nextTo"/>
        <c:txPr>
          <a:bodyPr/>
          <a:lstStyle/>
          <a:p>
            <a:pPr>
              <a:defRPr sz="900"/>
            </a:pPr>
            <a:endParaRPr lang="es-ES"/>
          </a:p>
        </c:txPr>
        <c:crossAx val="96921088"/>
        <c:crosses val="autoZero"/>
        <c:crossBetween val="between"/>
      </c:valAx>
      <c:dTable>
        <c:showHorzBorder val="1"/>
        <c:showVertBorder val="1"/>
        <c:showOutline val="1"/>
        <c:showKeys val="1"/>
        <c:txPr>
          <a:bodyPr/>
          <a:lstStyle/>
          <a:p>
            <a:pPr rtl="0">
              <a:defRPr sz="900"/>
            </a:pPr>
            <a:endParaRPr lang="es-ES"/>
          </a:p>
        </c:txPr>
      </c:dTable>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Calidad externa total obtenida del sistema LogiNotificador</a:t>
            </a:r>
            <a:endParaRPr lang="es-EC">
              <a:effectLst/>
            </a:endParaRPr>
          </a:p>
        </c:rich>
      </c:tx>
      <c:overlay val="0"/>
    </c:title>
    <c:autoTitleDeleted val="0"/>
    <c:view3D>
      <c:rotX val="15"/>
      <c:rotY val="20"/>
      <c:rAngAx val="1"/>
    </c:view3D>
    <c:floor>
      <c:thickness val="0"/>
    </c:floor>
    <c:sideWall>
      <c:thickness val="0"/>
    </c:sideWall>
    <c:backWall>
      <c:thickness val="0"/>
    </c:backWall>
    <c:plotArea>
      <c:layout/>
      <c:bar3DChart>
        <c:barDir val="col"/>
        <c:grouping val="stacked"/>
        <c:varyColors val="0"/>
        <c:ser>
          <c:idx val="0"/>
          <c:order val="0"/>
          <c:tx>
            <c:v>Valor obtenido</c:v>
          </c:tx>
          <c:invertIfNegative val="0"/>
          <c:cat>
            <c:strRef>
              <c:f>Hoja2!$K$14:$K$21</c:f>
              <c:strCache>
                <c:ptCount val="8"/>
                <c:pt idx="0">
                  <c:v>Adecuación funcional</c:v>
                </c:pt>
                <c:pt idx="1">
                  <c:v>Fiabilidad</c:v>
                </c:pt>
                <c:pt idx="2">
                  <c:v>Eficiencia en el desempeño</c:v>
                </c:pt>
                <c:pt idx="3">
                  <c:v>Facilidad de uso</c:v>
                </c:pt>
                <c:pt idx="4">
                  <c:v>Seguridad</c:v>
                </c:pt>
                <c:pt idx="5">
                  <c:v>Compatibilidad</c:v>
                </c:pt>
                <c:pt idx="6">
                  <c:v>Mantenibilidad</c:v>
                </c:pt>
                <c:pt idx="7">
                  <c:v>Portabilidad</c:v>
                </c:pt>
              </c:strCache>
            </c:strRef>
          </c:cat>
          <c:val>
            <c:numRef>
              <c:f>Hoja2!$L$14:$L$21</c:f>
              <c:numCache>
                <c:formatCode>0%</c:formatCode>
                <c:ptCount val="8"/>
                <c:pt idx="0">
                  <c:v>0.2</c:v>
                </c:pt>
                <c:pt idx="1">
                  <c:v>0.10500000000000001</c:v>
                </c:pt>
                <c:pt idx="2">
                  <c:v>9.0999999999999998E-2</c:v>
                </c:pt>
                <c:pt idx="3">
                  <c:v>9.69E-2</c:v>
                </c:pt>
                <c:pt idx="4">
                  <c:v>0.05</c:v>
                </c:pt>
                <c:pt idx="5">
                  <c:v>0.2</c:v>
                </c:pt>
                <c:pt idx="6">
                  <c:v>0.12</c:v>
                </c:pt>
                <c:pt idx="7">
                  <c:v>0</c:v>
                </c:pt>
              </c:numCache>
            </c:numRef>
          </c:val>
          <c:extLst>
            <c:ext xmlns:c16="http://schemas.microsoft.com/office/drawing/2014/chart" uri="{C3380CC4-5D6E-409C-BE32-E72D297353CC}">
              <c16:uniqueId val="{00000000-A5E8-4EDC-B0AB-8B0D088C6586}"/>
            </c:ext>
          </c:extLst>
        </c:ser>
        <c:dLbls>
          <c:showLegendKey val="0"/>
          <c:showVal val="0"/>
          <c:showCatName val="0"/>
          <c:showSerName val="0"/>
          <c:showPercent val="0"/>
          <c:showBubbleSize val="0"/>
        </c:dLbls>
        <c:gapWidth val="95"/>
        <c:gapDepth val="95"/>
        <c:shape val="box"/>
        <c:axId val="96923136"/>
        <c:axId val="96815360"/>
        <c:axId val="0"/>
      </c:bar3DChart>
      <c:catAx>
        <c:axId val="96923136"/>
        <c:scaling>
          <c:orientation val="minMax"/>
        </c:scaling>
        <c:delete val="0"/>
        <c:axPos val="b"/>
        <c:numFmt formatCode="General" sourceLinked="0"/>
        <c:majorTickMark val="none"/>
        <c:minorTickMark val="none"/>
        <c:tickLblPos val="nextTo"/>
        <c:crossAx val="96815360"/>
        <c:crosses val="autoZero"/>
        <c:auto val="1"/>
        <c:lblAlgn val="ctr"/>
        <c:lblOffset val="100"/>
        <c:noMultiLvlLbl val="0"/>
      </c:catAx>
      <c:valAx>
        <c:axId val="96815360"/>
        <c:scaling>
          <c:orientation val="minMax"/>
        </c:scaling>
        <c:delete val="0"/>
        <c:axPos val="l"/>
        <c:majorGridlines/>
        <c:title>
          <c:tx>
            <c:rich>
              <a:bodyPr/>
              <a:lstStyle/>
              <a:p>
                <a:pPr>
                  <a:defRPr/>
                </a:pPr>
                <a:r>
                  <a:rPr lang="es-EC"/>
                  <a:t>Valor obtenido</a:t>
                </a:r>
              </a:p>
            </c:rich>
          </c:tx>
          <c:overlay val="0"/>
        </c:title>
        <c:numFmt formatCode="0%" sourceLinked="1"/>
        <c:majorTickMark val="none"/>
        <c:minorTickMark val="none"/>
        <c:tickLblPos val="nextTo"/>
        <c:crossAx val="96923136"/>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Calidad en uso total obtenida del sistema LogiNotificador</a:t>
            </a:r>
            <a:endParaRPr lang="es-EC">
              <a:effectLst/>
            </a:endParaRPr>
          </a:p>
        </c:rich>
      </c:tx>
      <c:overlay val="0"/>
    </c:title>
    <c:autoTitleDeleted val="0"/>
    <c:view3D>
      <c:rotX val="15"/>
      <c:rotY val="20"/>
      <c:rAngAx val="1"/>
    </c:view3D>
    <c:floor>
      <c:thickness val="0"/>
    </c:floor>
    <c:sideWall>
      <c:thickness val="0"/>
    </c:sideWall>
    <c:backWall>
      <c:thickness val="0"/>
    </c:backWall>
    <c:plotArea>
      <c:layout/>
      <c:bar3DChart>
        <c:barDir val="col"/>
        <c:grouping val="stacked"/>
        <c:varyColors val="0"/>
        <c:ser>
          <c:idx val="0"/>
          <c:order val="0"/>
          <c:tx>
            <c:v>Valor obtenido</c:v>
          </c:tx>
          <c:invertIfNegative val="0"/>
          <c:cat>
            <c:strRef>
              <c:f>Hoja2!$K$23:$K$27</c:f>
              <c:strCache>
                <c:ptCount val="5"/>
                <c:pt idx="0">
                  <c:v>Efectividad</c:v>
                </c:pt>
                <c:pt idx="1">
                  <c:v>Eficiencia</c:v>
                </c:pt>
                <c:pt idx="2">
                  <c:v>Satisfacción</c:v>
                </c:pt>
                <c:pt idx="3">
                  <c:v>Libertad de Riesgo</c:v>
                </c:pt>
                <c:pt idx="4">
                  <c:v>Cobertura de Contexto</c:v>
                </c:pt>
              </c:strCache>
            </c:strRef>
          </c:cat>
          <c:val>
            <c:numRef>
              <c:f>Hoja2!$L$23:$L$27</c:f>
              <c:numCache>
                <c:formatCode>0%</c:formatCode>
                <c:ptCount val="5"/>
                <c:pt idx="0">
                  <c:v>0.3</c:v>
                </c:pt>
                <c:pt idx="1">
                  <c:v>0.14699999999999999</c:v>
                </c:pt>
                <c:pt idx="2">
                  <c:v>0.36</c:v>
                </c:pt>
                <c:pt idx="3">
                  <c:v>0.1</c:v>
                </c:pt>
                <c:pt idx="4">
                  <c:v>0</c:v>
                </c:pt>
              </c:numCache>
            </c:numRef>
          </c:val>
          <c:extLst>
            <c:ext xmlns:c16="http://schemas.microsoft.com/office/drawing/2014/chart" uri="{C3380CC4-5D6E-409C-BE32-E72D297353CC}">
              <c16:uniqueId val="{00000000-3338-45FC-A071-1C271EFD48B0}"/>
            </c:ext>
          </c:extLst>
        </c:ser>
        <c:dLbls>
          <c:showLegendKey val="0"/>
          <c:showVal val="0"/>
          <c:showCatName val="0"/>
          <c:showSerName val="0"/>
          <c:showPercent val="0"/>
          <c:showBubbleSize val="0"/>
        </c:dLbls>
        <c:gapWidth val="95"/>
        <c:gapDepth val="95"/>
        <c:shape val="box"/>
        <c:axId val="102457856"/>
        <c:axId val="96817088"/>
        <c:axId val="0"/>
      </c:bar3DChart>
      <c:catAx>
        <c:axId val="102457856"/>
        <c:scaling>
          <c:orientation val="minMax"/>
        </c:scaling>
        <c:delete val="0"/>
        <c:axPos val="b"/>
        <c:numFmt formatCode="General" sourceLinked="0"/>
        <c:majorTickMark val="none"/>
        <c:minorTickMark val="none"/>
        <c:tickLblPos val="nextTo"/>
        <c:crossAx val="96817088"/>
        <c:crosses val="autoZero"/>
        <c:auto val="1"/>
        <c:lblAlgn val="ctr"/>
        <c:lblOffset val="100"/>
        <c:noMultiLvlLbl val="0"/>
      </c:catAx>
      <c:valAx>
        <c:axId val="96817088"/>
        <c:scaling>
          <c:orientation val="minMax"/>
        </c:scaling>
        <c:delete val="0"/>
        <c:axPos val="l"/>
        <c:majorGridlines/>
        <c:title>
          <c:tx>
            <c:rich>
              <a:bodyPr/>
              <a:lstStyle/>
              <a:p>
                <a:pPr>
                  <a:defRPr/>
                </a:pPr>
                <a:r>
                  <a:rPr lang="es-EC"/>
                  <a:t>valor obtenido</a:t>
                </a:r>
              </a:p>
            </c:rich>
          </c:tx>
          <c:layout>
            <c:manualLayout>
              <c:xMode val="edge"/>
              <c:yMode val="edge"/>
              <c:x val="0.1195975124348076"/>
              <c:y val="0.38593847592651354"/>
            </c:manualLayout>
          </c:layout>
          <c:overlay val="0"/>
        </c:title>
        <c:numFmt formatCode="0%" sourceLinked="1"/>
        <c:majorTickMark val="none"/>
        <c:minorTickMark val="none"/>
        <c:tickLblPos val="nextTo"/>
        <c:crossAx val="102457856"/>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638175</xdr:colOff>
      <xdr:row>4</xdr:row>
      <xdr:rowOff>61912</xdr:rowOff>
    </xdr:from>
    <xdr:to>
      <xdr:col>12</xdr:col>
      <xdr:colOff>638175</xdr:colOff>
      <xdr:row>18</xdr:row>
      <xdr:rowOff>138112</xdr:rowOff>
    </xdr:to>
    <xdr:graphicFrame macro="">
      <xdr:nvGraphicFramePr>
        <xdr:cNvPr id="3" name="2 Gráfico">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581025</xdr:colOff>
      <xdr:row>24</xdr:row>
      <xdr:rowOff>33337</xdr:rowOff>
    </xdr:from>
    <xdr:to>
      <xdr:col>12</xdr:col>
      <xdr:colOff>28575</xdr:colOff>
      <xdr:row>42</xdr:row>
      <xdr:rowOff>123825</xdr:rowOff>
    </xdr:to>
    <xdr:graphicFrame macro="">
      <xdr:nvGraphicFramePr>
        <xdr:cNvPr id="6" name="5 Gráfico">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16566</xdr:colOff>
      <xdr:row>3</xdr:row>
      <xdr:rowOff>520977</xdr:rowOff>
    </xdr:from>
    <xdr:to>
      <xdr:col>22</xdr:col>
      <xdr:colOff>91110</xdr:colOff>
      <xdr:row>15</xdr:row>
      <xdr:rowOff>0</xdr:rowOff>
    </xdr:to>
    <xdr:graphicFrame macro="">
      <xdr:nvGraphicFramePr>
        <xdr:cNvPr id="3" name="2 Gráfico">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91108</xdr:colOff>
      <xdr:row>15</xdr:row>
      <xdr:rowOff>197954</xdr:rowOff>
    </xdr:from>
    <xdr:to>
      <xdr:col>22</xdr:col>
      <xdr:colOff>107674</xdr:colOff>
      <xdr:row>26</xdr:row>
      <xdr:rowOff>223630</xdr:rowOff>
    </xdr:to>
    <xdr:graphicFrame macro="">
      <xdr:nvGraphicFramePr>
        <xdr:cNvPr id="2" name="1 Gráfico">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74545</xdr:colOff>
      <xdr:row>27</xdr:row>
      <xdr:rowOff>32302</xdr:rowOff>
    </xdr:from>
    <xdr:to>
      <xdr:col>21</xdr:col>
      <xdr:colOff>372719</xdr:colOff>
      <xdr:row>41</xdr:row>
      <xdr:rowOff>66261</xdr:rowOff>
    </xdr:to>
    <xdr:graphicFrame macro="">
      <xdr:nvGraphicFramePr>
        <xdr:cNvPr id="4" name="3 Gráfico">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R170"/>
  <sheetViews>
    <sheetView showGridLines="0" tabSelected="1" topLeftCell="A133" zoomScale="70" zoomScaleNormal="70" workbookViewId="0">
      <selection activeCell="D10" sqref="D10:D12"/>
    </sheetView>
  </sheetViews>
  <sheetFormatPr baseColWidth="10" defaultColWidth="11.42578125" defaultRowHeight="14.25" x14ac:dyDescent="0.2"/>
  <cols>
    <col min="1" max="1" width="6.85546875" style="9" customWidth="1"/>
    <col min="2" max="2" width="28.85546875" style="9" customWidth="1"/>
    <col min="3" max="3" width="36" style="9" customWidth="1"/>
    <col min="4" max="4" width="38.7109375" style="9" customWidth="1"/>
    <col min="5" max="5" width="39.7109375" style="9" customWidth="1"/>
    <col min="6" max="6" width="12.85546875" style="9" customWidth="1"/>
    <col min="7" max="7" width="11.85546875" style="9" customWidth="1"/>
    <col min="8" max="8" width="13.140625" style="9" customWidth="1"/>
    <col min="9" max="9" width="10.28515625" style="9" customWidth="1"/>
    <col min="10" max="10" width="10.5703125" style="9" customWidth="1"/>
    <col min="11" max="11" width="20.5703125" style="9" customWidth="1"/>
    <col min="12" max="12" width="17.85546875" style="9" customWidth="1"/>
    <col min="13" max="13" width="19.85546875" style="9" customWidth="1"/>
    <col min="14" max="14" width="20.7109375" style="22" customWidth="1"/>
    <col min="15" max="15" width="14.28515625" style="9" customWidth="1"/>
    <col min="16" max="16" width="23.28515625" style="9" customWidth="1"/>
    <col min="17" max="17" width="59.42578125" style="69" customWidth="1"/>
    <col min="18" max="16384" width="11.42578125" style="9"/>
  </cols>
  <sheetData>
    <row r="2" spans="2:18" s="8" customFormat="1" ht="15" customHeight="1" x14ac:dyDescent="0.2">
      <c r="B2" s="185" t="s">
        <v>0</v>
      </c>
      <c r="C2" s="185"/>
      <c r="D2" s="185"/>
      <c r="E2" s="185"/>
      <c r="F2" s="185"/>
      <c r="G2" s="185"/>
      <c r="H2" s="185"/>
      <c r="I2" s="185"/>
      <c r="J2" s="185"/>
      <c r="K2" s="185"/>
      <c r="L2" s="185"/>
      <c r="M2" s="185"/>
      <c r="N2" s="185"/>
      <c r="O2" s="185"/>
      <c r="P2" s="185"/>
      <c r="Q2" s="69"/>
    </row>
    <row r="3" spans="2:18" s="8" customFormat="1" ht="14.25" customHeight="1" x14ac:dyDescent="0.2">
      <c r="B3" s="185"/>
      <c r="C3" s="185"/>
      <c r="D3" s="185"/>
      <c r="E3" s="185"/>
      <c r="F3" s="185"/>
      <c r="G3" s="185"/>
      <c r="H3" s="185"/>
      <c r="I3" s="185"/>
      <c r="J3" s="185"/>
      <c r="K3" s="185"/>
      <c r="L3" s="185"/>
      <c r="M3" s="185"/>
      <c r="N3" s="185"/>
      <c r="O3" s="185"/>
      <c r="P3" s="185"/>
      <c r="Q3" s="69"/>
    </row>
    <row r="4" spans="2:18" s="8" customFormat="1" ht="14.25" customHeight="1" x14ac:dyDescent="0.2">
      <c r="B4" s="20"/>
      <c r="C4" s="20"/>
      <c r="D4" s="20"/>
      <c r="E4" s="20"/>
      <c r="F4" s="20"/>
      <c r="G4" s="20"/>
      <c r="H4" s="20"/>
      <c r="I4" s="20"/>
      <c r="J4" s="20"/>
      <c r="K4" s="20"/>
      <c r="L4" s="20"/>
      <c r="M4" s="20"/>
      <c r="N4" s="21"/>
      <c r="O4" s="20"/>
      <c r="P4" s="20"/>
      <c r="Q4" s="69"/>
    </row>
    <row r="6" spans="2:18" ht="45.75" customHeight="1" x14ac:dyDescent="0.2">
      <c r="B6" s="77" t="s">
        <v>1</v>
      </c>
      <c r="C6" s="77" t="s">
        <v>2</v>
      </c>
      <c r="D6" s="77" t="s">
        <v>3</v>
      </c>
      <c r="E6" s="77" t="s">
        <v>4</v>
      </c>
      <c r="F6" s="164" t="s">
        <v>5</v>
      </c>
      <c r="G6" s="164"/>
      <c r="H6" s="77" t="s">
        <v>6</v>
      </c>
      <c r="I6" s="164" t="s">
        <v>7</v>
      </c>
      <c r="J6" s="164"/>
      <c r="K6" s="77" t="s">
        <v>8</v>
      </c>
      <c r="L6" s="77" t="s">
        <v>9</v>
      </c>
      <c r="M6" s="77" t="s">
        <v>10</v>
      </c>
      <c r="N6" s="23" t="s">
        <v>11</v>
      </c>
      <c r="O6" s="60" t="s">
        <v>12</v>
      </c>
      <c r="P6" s="61" t="s">
        <v>13</v>
      </c>
      <c r="Q6" s="59" t="s">
        <v>14</v>
      </c>
    </row>
    <row r="7" spans="2:18" ht="39.75" customHeight="1" x14ac:dyDescent="0.2">
      <c r="B7" s="165" t="s">
        <v>15</v>
      </c>
      <c r="C7" s="166" t="s">
        <v>16</v>
      </c>
      <c r="D7" s="166" t="s">
        <v>17</v>
      </c>
      <c r="E7" s="103" t="s">
        <v>18</v>
      </c>
      <c r="F7" s="167">
        <v>0</v>
      </c>
      <c r="G7" s="167"/>
      <c r="H7" s="79" t="s">
        <v>19</v>
      </c>
      <c r="I7" s="11" t="s">
        <v>20</v>
      </c>
      <c r="J7" s="74">
        <v>2</v>
      </c>
      <c r="K7" s="91">
        <f>IF((J9="NA"),"NA",((1-J9)*10))</f>
        <v>9.7701149425287355</v>
      </c>
      <c r="L7" s="91">
        <f>IF(AND(H7="No",H10="No",H13="No"),0,AVERAGE(K7:K15))</f>
        <v>9.7701149425287355</v>
      </c>
      <c r="M7" s="84" t="s">
        <v>21</v>
      </c>
      <c r="N7" s="138">
        <v>0.2</v>
      </c>
      <c r="O7" s="139">
        <f>L7*N7</f>
        <v>1.9540229885057472</v>
      </c>
      <c r="P7" s="180">
        <f>SUM(O7,O17,O42,O68,O99,O117,O127,O146)</f>
        <v>3.7733730535840238</v>
      </c>
      <c r="Q7" s="186"/>
    </row>
    <row r="8" spans="2:18" ht="34.5" customHeight="1" x14ac:dyDescent="0.2">
      <c r="B8" s="165"/>
      <c r="C8" s="166" t="s">
        <v>22</v>
      </c>
      <c r="D8" s="166" t="s">
        <v>23</v>
      </c>
      <c r="E8" s="90"/>
      <c r="F8" s="167"/>
      <c r="G8" s="167"/>
      <c r="H8" s="80"/>
      <c r="I8" s="12" t="s">
        <v>24</v>
      </c>
      <c r="J8" s="75">
        <v>87</v>
      </c>
      <c r="K8" s="91"/>
      <c r="L8" s="91"/>
      <c r="M8" s="85"/>
      <c r="N8" s="138"/>
      <c r="O8" s="139"/>
      <c r="P8" s="181"/>
      <c r="Q8" s="187"/>
    </row>
    <row r="9" spans="2:18" ht="41.25" customHeight="1" x14ac:dyDescent="0.2">
      <c r="B9" s="165"/>
      <c r="C9" s="166"/>
      <c r="D9" s="166" t="s">
        <v>25</v>
      </c>
      <c r="E9" s="83"/>
      <c r="F9" s="167"/>
      <c r="G9" s="167"/>
      <c r="H9" s="81"/>
      <c r="I9" s="13" t="s">
        <v>26</v>
      </c>
      <c r="J9" s="6">
        <f>IF(AND(H7="Si"),(J7/J8),"NA")</f>
        <v>2.2988505747126436E-2</v>
      </c>
      <c r="K9" s="91"/>
      <c r="L9" s="91"/>
      <c r="M9" s="85"/>
      <c r="N9" s="138"/>
      <c r="O9" s="139"/>
      <c r="P9" s="181"/>
      <c r="Q9" s="188"/>
    </row>
    <row r="10" spans="2:18" ht="39.75" customHeight="1" x14ac:dyDescent="0.2">
      <c r="B10" s="165"/>
      <c r="C10" s="168" t="s">
        <v>22</v>
      </c>
      <c r="D10" s="146" t="s">
        <v>27</v>
      </c>
      <c r="E10" s="104" t="s">
        <v>28</v>
      </c>
      <c r="F10" s="167">
        <v>1</v>
      </c>
      <c r="G10" s="167"/>
      <c r="H10" s="79" t="s">
        <v>29</v>
      </c>
      <c r="I10" s="11" t="s">
        <v>20</v>
      </c>
      <c r="J10" s="74">
        <v>0</v>
      </c>
      <c r="K10" s="91" t="str">
        <f>IF((J12="NA"),"NA",((J12/F10)*10))</f>
        <v>NA</v>
      </c>
      <c r="L10" s="91"/>
      <c r="M10" s="85"/>
      <c r="N10" s="138"/>
      <c r="O10" s="139"/>
      <c r="P10" s="182"/>
      <c r="Q10" s="189" t="s">
        <v>30</v>
      </c>
    </row>
    <row r="11" spans="2:18" ht="32.25" customHeight="1" x14ac:dyDescent="0.2">
      <c r="B11" s="165"/>
      <c r="C11" s="168"/>
      <c r="D11" s="146"/>
      <c r="E11" s="104"/>
      <c r="F11" s="167"/>
      <c r="G11" s="167"/>
      <c r="H11" s="80"/>
      <c r="I11" s="12" t="s">
        <v>24</v>
      </c>
      <c r="J11" s="75">
        <v>1</v>
      </c>
      <c r="K11" s="91"/>
      <c r="L11" s="91"/>
      <c r="M11" s="85"/>
      <c r="N11" s="138"/>
      <c r="O11" s="139"/>
      <c r="P11" s="182"/>
      <c r="Q11" s="190"/>
    </row>
    <row r="12" spans="2:18" ht="33.75" customHeight="1" x14ac:dyDescent="0.2">
      <c r="B12" s="165"/>
      <c r="C12" s="168"/>
      <c r="D12" s="146"/>
      <c r="E12" s="104"/>
      <c r="F12" s="167"/>
      <c r="G12" s="167"/>
      <c r="H12" s="81"/>
      <c r="I12" s="13" t="s">
        <v>26</v>
      </c>
      <c r="J12" s="6" t="str">
        <f>IF(AND(H10="Si"),(J10/J11),"NA")</f>
        <v>NA</v>
      </c>
      <c r="K12" s="91"/>
      <c r="L12" s="91"/>
      <c r="M12" s="85"/>
      <c r="N12" s="138"/>
      <c r="O12" s="139"/>
      <c r="P12" s="182"/>
      <c r="Q12" s="191"/>
    </row>
    <row r="13" spans="2:18" ht="38.25" customHeight="1" x14ac:dyDescent="0.2">
      <c r="B13" s="165"/>
      <c r="C13" s="168"/>
      <c r="D13" s="146" t="s">
        <v>31</v>
      </c>
      <c r="E13" s="104" t="s">
        <v>32</v>
      </c>
      <c r="F13" s="169" t="s">
        <v>33</v>
      </c>
      <c r="G13" s="167"/>
      <c r="H13" s="79" t="s">
        <v>29</v>
      </c>
      <c r="I13" s="11" t="s">
        <v>20</v>
      </c>
      <c r="J13" s="74">
        <v>0</v>
      </c>
      <c r="K13" s="91" t="str">
        <f>IF((J15="NA"),"NA",IF(J13&gt;10,0,((1-(J13/10))*10)))</f>
        <v>NA</v>
      </c>
      <c r="L13" s="91"/>
      <c r="M13" s="85"/>
      <c r="N13" s="138"/>
      <c r="O13" s="139"/>
      <c r="P13" s="182"/>
      <c r="Q13" s="189" t="s">
        <v>34</v>
      </c>
    </row>
    <row r="14" spans="2:18" ht="32.25" customHeight="1" x14ac:dyDescent="0.2">
      <c r="B14" s="165"/>
      <c r="C14" s="168"/>
      <c r="D14" s="146"/>
      <c r="E14" s="105"/>
      <c r="F14" s="167"/>
      <c r="G14" s="167"/>
      <c r="H14" s="80"/>
      <c r="I14" s="12" t="s">
        <v>35</v>
      </c>
      <c r="J14" s="29">
        <v>15</v>
      </c>
      <c r="K14" s="91"/>
      <c r="L14" s="91"/>
      <c r="M14" s="85"/>
      <c r="N14" s="138"/>
      <c r="O14" s="139"/>
      <c r="P14" s="182"/>
      <c r="Q14" s="190"/>
    </row>
    <row r="15" spans="2:18" ht="33.75" customHeight="1" x14ac:dyDescent="0.2">
      <c r="B15" s="165"/>
      <c r="C15" s="168"/>
      <c r="D15" s="146"/>
      <c r="E15" s="105"/>
      <c r="F15" s="167"/>
      <c r="G15" s="167"/>
      <c r="H15" s="81"/>
      <c r="I15" s="13" t="s">
        <v>26</v>
      </c>
      <c r="J15" s="7" t="str">
        <f>IF(AND(H13="Si"),(J13&amp;"/"&amp;J14&amp;"min"),"NA")</f>
        <v>NA</v>
      </c>
      <c r="K15" s="91"/>
      <c r="L15" s="91"/>
      <c r="M15" s="86"/>
      <c r="N15" s="138"/>
      <c r="O15" s="139"/>
      <c r="P15" s="182"/>
      <c r="Q15" s="191"/>
    </row>
    <row r="16" spans="2:18" ht="5.25" customHeight="1" x14ac:dyDescent="0.2">
      <c r="B16" s="140"/>
      <c r="C16" s="141"/>
      <c r="D16" s="141"/>
      <c r="E16" s="141"/>
      <c r="F16" s="141"/>
      <c r="G16" s="141"/>
      <c r="H16" s="141"/>
      <c r="I16" s="141"/>
      <c r="J16" s="141"/>
      <c r="K16" s="141"/>
      <c r="L16" s="141"/>
      <c r="M16" s="141"/>
      <c r="N16" s="141"/>
      <c r="O16" s="142"/>
      <c r="P16" s="183"/>
      <c r="Q16" s="71"/>
      <c r="R16" s="63"/>
    </row>
    <row r="17" spans="1:18" ht="38.25" customHeight="1" x14ac:dyDescent="0.2">
      <c r="B17" s="143" t="s">
        <v>36</v>
      </c>
      <c r="C17" s="100" t="s">
        <v>37</v>
      </c>
      <c r="D17" s="146" t="s">
        <v>38</v>
      </c>
      <c r="E17" s="147" t="s">
        <v>39</v>
      </c>
      <c r="F17" s="105">
        <v>1</v>
      </c>
      <c r="G17" s="105"/>
      <c r="H17" s="79" t="s">
        <v>29</v>
      </c>
      <c r="I17" s="11" t="s">
        <v>20</v>
      </c>
      <c r="J17" s="74">
        <v>2</v>
      </c>
      <c r="K17" s="91" t="str">
        <f>IF((J19="NA"),"NA",((J19/F17)*10))</f>
        <v>NA</v>
      </c>
      <c r="L17" s="106">
        <f>IF(AND(H17="No",H20="No",H23="No",H26="No",H29="No",H32="No",H35="No",H38="No"),0,AVERAGE(K17:K40))</f>
        <v>0</v>
      </c>
      <c r="M17" s="87" t="s">
        <v>40</v>
      </c>
      <c r="N17" s="125">
        <v>0.15</v>
      </c>
      <c r="O17" s="128">
        <f>L17*N17</f>
        <v>0</v>
      </c>
      <c r="P17" s="182"/>
      <c r="Q17" s="192" t="s">
        <v>41</v>
      </c>
    </row>
    <row r="18" spans="1:18" ht="30" customHeight="1" x14ac:dyDescent="0.2">
      <c r="B18" s="144"/>
      <c r="C18" s="101"/>
      <c r="D18" s="146"/>
      <c r="E18" s="147"/>
      <c r="F18" s="105"/>
      <c r="G18" s="105"/>
      <c r="H18" s="80"/>
      <c r="I18" s="12" t="s">
        <v>24</v>
      </c>
      <c r="J18" s="75">
        <v>4</v>
      </c>
      <c r="K18" s="91"/>
      <c r="L18" s="107"/>
      <c r="M18" s="88"/>
      <c r="N18" s="126"/>
      <c r="O18" s="129"/>
      <c r="P18" s="182"/>
      <c r="Q18" s="193"/>
    </row>
    <row r="19" spans="1:18" s="14" customFormat="1" ht="36" customHeight="1" x14ac:dyDescent="0.2">
      <c r="A19" s="9"/>
      <c r="B19" s="144"/>
      <c r="C19" s="101"/>
      <c r="D19" s="146"/>
      <c r="E19" s="147"/>
      <c r="F19" s="105"/>
      <c r="G19" s="105"/>
      <c r="H19" s="81"/>
      <c r="I19" s="13" t="s">
        <v>26</v>
      </c>
      <c r="J19" s="6" t="str">
        <f>IF(AND(H17="Si"),(J17/J18),"NA")</f>
        <v>NA</v>
      </c>
      <c r="K19" s="91"/>
      <c r="L19" s="107"/>
      <c r="M19" s="88"/>
      <c r="N19" s="126"/>
      <c r="O19" s="129"/>
      <c r="P19" s="182"/>
      <c r="Q19" s="194"/>
    </row>
    <row r="20" spans="1:18" s="14" customFormat="1" ht="35.25" customHeight="1" x14ac:dyDescent="0.2">
      <c r="A20" s="9"/>
      <c r="B20" s="144"/>
      <c r="C20" s="101"/>
      <c r="D20" s="146" t="s">
        <v>42</v>
      </c>
      <c r="E20" s="147" t="s">
        <v>43</v>
      </c>
      <c r="F20" s="105">
        <v>1</v>
      </c>
      <c r="G20" s="105"/>
      <c r="H20" s="79" t="s">
        <v>29</v>
      </c>
      <c r="I20" s="11" t="s">
        <v>20</v>
      </c>
      <c r="J20" s="74">
        <v>5</v>
      </c>
      <c r="K20" s="91" t="str">
        <f>IF((J22="NA"),"NA",((J22/F20)*10))</f>
        <v>NA</v>
      </c>
      <c r="L20" s="107"/>
      <c r="M20" s="88"/>
      <c r="N20" s="126"/>
      <c r="O20" s="129"/>
      <c r="P20" s="182"/>
      <c r="Q20" s="192" t="s">
        <v>44</v>
      </c>
    </row>
    <row r="21" spans="1:18" s="14" customFormat="1" ht="42" customHeight="1" x14ac:dyDescent="0.2">
      <c r="A21" s="9"/>
      <c r="B21" s="144"/>
      <c r="C21" s="101"/>
      <c r="D21" s="146"/>
      <c r="E21" s="147"/>
      <c r="F21" s="105"/>
      <c r="G21" s="105"/>
      <c r="H21" s="80"/>
      <c r="I21" s="12" t="s">
        <v>24</v>
      </c>
      <c r="J21" s="75">
        <v>5</v>
      </c>
      <c r="K21" s="91"/>
      <c r="L21" s="107"/>
      <c r="M21" s="88"/>
      <c r="N21" s="126"/>
      <c r="O21" s="129"/>
      <c r="P21" s="182"/>
      <c r="Q21" s="193"/>
    </row>
    <row r="22" spans="1:18" s="14" customFormat="1" ht="42" customHeight="1" x14ac:dyDescent="0.2">
      <c r="A22" s="9"/>
      <c r="B22" s="144"/>
      <c r="C22" s="101"/>
      <c r="D22" s="146"/>
      <c r="E22" s="147"/>
      <c r="F22" s="105"/>
      <c r="G22" s="105"/>
      <c r="H22" s="81"/>
      <c r="I22" s="13" t="s">
        <v>26</v>
      </c>
      <c r="J22" s="6" t="str">
        <f>IF(AND(H20="Si"),(J20/J21),"NA")</f>
        <v>NA</v>
      </c>
      <c r="K22" s="91"/>
      <c r="L22" s="107"/>
      <c r="M22" s="88"/>
      <c r="N22" s="126"/>
      <c r="O22" s="129"/>
      <c r="P22" s="182"/>
      <c r="Q22" s="194"/>
    </row>
    <row r="23" spans="1:18" s="14" customFormat="1" ht="36" customHeight="1" x14ac:dyDescent="0.2">
      <c r="A23" s="9"/>
      <c r="B23" s="144"/>
      <c r="C23" s="101"/>
      <c r="D23" s="100" t="s">
        <v>45</v>
      </c>
      <c r="E23" s="98" t="s">
        <v>46</v>
      </c>
      <c r="F23" s="104" t="s">
        <v>33</v>
      </c>
      <c r="G23" s="105"/>
      <c r="H23" s="79" t="s">
        <v>29</v>
      </c>
      <c r="I23" s="11" t="s">
        <v>20</v>
      </c>
      <c r="J23" s="74">
        <v>0</v>
      </c>
      <c r="K23" s="106" t="str">
        <f>IF((J25="NA"),"NA",IF(J23&gt;10,0,(((1-(J23/10))*10))))</f>
        <v>NA</v>
      </c>
      <c r="L23" s="107"/>
      <c r="M23" s="88"/>
      <c r="N23" s="126"/>
      <c r="O23" s="129"/>
      <c r="P23" s="182"/>
      <c r="Q23" s="195" t="s">
        <v>47</v>
      </c>
    </row>
    <row r="24" spans="1:18" s="14" customFormat="1" ht="39.75" customHeight="1" x14ac:dyDescent="0.2">
      <c r="A24" s="9"/>
      <c r="B24" s="144"/>
      <c r="C24" s="101"/>
      <c r="D24" s="101"/>
      <c r="E24" s="98"/>
      <c r="F24" s="105"/>
      <c r="G24" s="105"/>
      <c r="H24" s="80"/>
      <c r="I24" s="12" t="s">
        <v>35</v>
      </c>
      <c r="J24" s="29" t="str">
        <f>IF(H23="Si",15,"")</f>
        <v/>
      </c>
      <c r="K24" s="107"/>
      <c r="L24" s="107"/>
      <c r="M24" s="88"/>
      <c r="N24" s="126"/>
      <c r="O24" s="129"/>
      <c r="P24" s="182"/>
      <c r="Q24" s="196"/>
    </row>
    <row r="25" spans="1:18" s="14" customFormat="1" ht="29.25" customHeight="1" x14ac:dyDescent="0.2">
      <c r="A25" s="9"/>
      <c r="B25" s="144"/>
      <c r="C25" s="102"/>
      <c r="D25" s="102"/>
      <c r="E25" s="98"/>
      <c r="F25" s="105"/>
      <c r="G25" s="105"/>
      <c r="H25" s="81"/>
      <c r="I25" s="13" t="s">
        <v>48</v>
      </c>
      <c r="J25" s="7" t="str">
        <f>IF(AND(H23="Si"),(J23&amp;"/"&amp;J24&amp;"min"),"NA")</f>
        <v>NA</v>
      </c>
      <c r="K25" s="108"/>
      <c r="L25" s="107"/>
      <c r="M25" s="88"/>
      <c r="N25" s="126"/>
      <c r="O25" s="129"/>
      <c r="P25" s="182"/>
      <c r="Q25" s="197"/>
    </row>
    <row r="26" spans="1:18" s="14" customFormat="1" ht="35.25" customHeight="1" x14ac:dyDescent="0.2">
      <c r="A26" s="9"/>
      <c r="B26" s="144"/>
      <c r="C26" s="100" t="s">
        <v>49</v>
      </c>
      <c r="D26" s="148" t="s">
        <v>50</v>
      </c>
      <c r="E26" s="120" t="s">
        <v>51</v>
      </c>
      <c r="F26" s="120">
        <v>1</v>
      </c>
      <c r="G26" s="121"/>
      <c r="H26" s="79" t="s">
        <v>29</v>
      </c>
      <c r="I26" s="11" t="s">
        <v>20</v>
      </c>
      <c r="J26" s="74">
        <v>365</v>
      </c>
      <c r="K26" s="91" t="str">
        <f>IF((J28="NA"),"NA",((J28/F26)*10))</f>
        <v>NA</v>
      </c>
      <c r="L26" s="107"/>
      <c r="M26" s="88"/>
      <c r="N26" s="126"/>
      <c r="O26" s="129"/>
      <c r="P26" s="182"/>
      <c r="Q26" s="195" t="s">
        <v>52</v>
      </c>
    </row>
    <row r="27" spans="1:18" s="14" customFormat="1" ht="36.75" customHeight="1" x14ac:dyDescent="0.2">
      <c r="A27" s="9"/>
      <c r="B27" s="144"/>
      <c r="C27" s="101"/>
      <c r="D27" s="149"/>
      <c r="E27" s="120"/>
      <c r="F27" s="121"/>
      <c r="G27" s="121"/>
      <c r="H27" s="80"/>
      <c r="I27" s="12" t="s">
        <v>24</v>
      </c>
      <c r="J27" s="75">
        <v>365</v>
      </c>
      <c r="K27" s="91"/>
      <c r="L27" s="107"/>
      <c r="M27" s="88"/>
      <c r="N27" s="126"/>
      <c r="O27" s="129"/>
      <c r="P27" s="182"/>
      <c r="Q27" s="196"/>
    </row>
    <row r="28" spans="1:18" s="14" customFormat="1" ht="36.75" customHeight="1" x14ac:dyDescent="0.2">
      <c r="A28" s="9"/>
      <c r="B28" s="144"/>
      <c r="C28" s="101"/>
      <c r="D28" s="150"/>
      <c r="E28" s="120"/>
      <c r="F28" s="121"/>
      <c r="G28" s="121"/>
      <c r="H28" s="81"/>
      <c r="I28" s="13" t="s">
        <v>26</v>
      </c>
      <c r="J28" s="6" t="str">
        <f>IF(AND(H26="Si"),(J26/J27),"NA")</f>
        <v>NA</v>
      </c>
      <c r="K28" s="91"/>
      <c r="L28" s="107"/>
      <c r="M28" s="88"/>
      <c r="N28" s="126"/>
      <c r="O28" s="129"/>
      <c r="P28" s="182"/>
      <c r="Q28" s="197"/>
    </row>
    <row r="29" spans="1:18" s="14" customFormat="1" ht="36.75" customHeight="1" x14ac:dyDescent="0.2">
      <c r="A29" s="9"/>
      <c r="B29" s="144"/>
      <c r="C29" s="101"/>
      <c r="D29" s="100" t="s">
        <v>53</v>
      </c>
      <c r="E29" s="98" t="s">
        <v>54</v>
      </c>
      <c r="F29" s="104" t="s">
        <v>55</v>
      </c>
      <c r="G29" s="105"/>
      <c r="H29" s="79" t="s">
        <v>29</v>
      </c>
      <c r="I29" s="11" t="s">
        <v>20</v>
      </c>
      <c r="J29" s="74"/>
      <c r="K29" s="106" t="str">
        <f>IF((J31="NA"),"NA",IF(J29&gt;10,0,(((1-(J29/10))*10))))</f>
        <v>NA</v>
      </c>
      <c r="L29" s="107"/>
      <c r="M29" s="88"/>
      <c r="N29" s="126"/>
      <c r="O29" s="129"/>
      <c r="P29" s="182"/>
      <c r="Q29" s="195" t="s">
        <v>56</v>
      </c>
    </row>
    <row r="30" spans="1:18" s="14" customFormat="1" ht="36.75" customHeight="1" x14ac:dyDescent="0.2">
      <c r="A30" s="9"/>
      <c r="B30" s="144"/>
      <c r="C30" s="101"/>
      <c r="D30" s="101"/>
      <c r="E30" s="98"/>
      <c r="F30" s="105"/>
      <c r="G30" s="105"/>
      <c r="H30" s="80"/>
      <c r="I30" s="12" t="s">
        <v>35</v>
      </c>
      <c r="J30" s="29" t="str">
        <f>IF(H29="Si",1,"")</f>
        <v/>
      </c>
      <c r="K30" s="107"/>
      <c r="L30" s="107"/>
      <c r="M30" s="88"/>
      <c r="N30" s="126"/>
      <c r="O30" s="129"/>
      <c r="P30" s="182"/>
      <c r="Q30" s="196"/>
    </row>
    <row r="31" spans="1:18" s="14" customFormat="1" ht="29.25" customHeight="1" x14ac:dyDescent="0.2">
      <c r="A31" s="9"/>
      <c r="B31" s="144"/>
      <c r="C31" s="102"/>
      <c r="D31" s="102"/>
      <c r="E31" s="98"/>
      <c r="F31" s="105"/>
      <c r="G31" s="105"/>
      <c r="H31" s="81"/>
      <c r="I31" s="13" t="s">
        <v>48</v>
      </c>
      <c r="J31" s="7" t="str">
        <f>IF(AND(H29="Si"),(J29&amp;"/"&amp;J30&amp;"min"),"NA")</f>
        <v>NA</v>
      </c>
      <c r="K31" s="108"/>
      <c r="L31" s="107"/>
      <c r="M31" s="88"/>
      <c r="N31" s="126"/>
      <c r="O31" s="129"/>
      <c r="P31" s="182"/>
      <c r="Q31" s="197"/>
    </row>
    <row r="32" spans="1:18" s="14" customFormat="1" ht="44.25" customHeight="1" x14ac:dyDescent="0.2">
      <c r="A32" s="9"/>
      <c r="B32" s="144"/>
      <c r="C32" s="100" t="s">
        <v>57</v>
      </c>
      <c r="D32" s="100" t="s">
        <v>58</v>
      </c>
      <c r="E32" s="98" t="s">
        <v>59</v>
      </c>
      <c r="F32" s="104">
        <v>1</v>
      </c>
      <c r="G32" s="105"/>
      <c r="H32" s="79" t="s">
        <v>29</v>
      </c>
      <c r="I32" s="11" t="s">
        <v>20</v>
      </c>
      <c r="J32" s="74"/>
      <c r="K32" s="91" t="str">
        <f>IF((J34="NA"),"NA",((J34/F32)*10))</f>
        <v>NA</v>
      </c>
      <c r="L32" s="107"/>
      <c r="M32" s="88"/>
      <c r="N32" s="126"/>
      <c r="O32" s="129"/>
      <c r="P32" s="182"/>
      <c r="Q32" s="198" t="s">
        <v>60</v>
      </c>
      <c r="R32" s="66"/>
    </row>
    <row r="33" spans="1:18" s="14" customFormat="1" ht="39" customHeight="1" x14ac:dyDescent="0.2">
      <c r="A33" s="9"/>
      <c r="B33" s="144"/>
      <c r="C33" s="101"/>
      <c r="D33" s="101"/>
      <c r="E33" s="98"/>
      <c r="F33" s="105"/>
      <c r="G33" s="105"/>
      <c r="H33" s="80"/>
      <c r="I33" s="12" t="s">
        <v>24</v>
      </c>
      <c r="J33" s="75"/>
      <c r="K33" s="91"/>
      <c r="L33" s="107"/>
      <c r="M33" s="88"/>
      <c r="N33" s="126"/>
      <c r="O33" s="129"/>
      <c r="P33" s="182"/>
      <c r="Q33" s="199"/>
      <c r="R33" s="66"/>
    </row>
    <row r="34" spans="1:18" s="14" customFormat="1" ht="41.25" customHeight="1" x14ac:dyDescent="0.2">
      <c r="A34" s="9"/>
      <c r="B34" s="144"/>
      <c r="C34" s="101"/>
      <c r="D34" s="102"/>
      <c r="E34" s="98"/>
      <c r="F34" s="105"/>
      <c r="G34" s="105"/>
      <c r="H34" s="81"/>
      <c r="I34" s="13" t="s">
        <v>26</v>
      </c>
      <c r="J34" s="6" t="str">
        <f>IF(AND(H32="Si"),(J32/J33),"NA")</f>
        <v>NA</v>
      </c>
      <c r="K34" s="91"/>
      <c r="L34" s="107"/>
      <c r="M34" s="88"/>
      <c r="N34" s="126"/>
      <c r="O34" s="129"/>
      <c r="P34" s="182"/>
      <c r="Q34" s="200"/>
      <c r="R34" s="66"/>
    </row>
    <row r="35" spans="1:18" s="14" customFormat="1" ht="36" customHeight="1" x14ac:dyDescent="0.2">
      <c r="A35" s="9"/>
      <c r="B35" s="144"/>
      <c r="C35" s="101"/>
      <c r="D35" s="146" t="s">
        <v>61</v>
      </c>
      <c r="E35" s="98" t="s">
        <v>62</v>
      </c>
      <c r="F35" s="99">
        <v>1</v>
      </c>
      <c r="G35" s="99"/>
      <c r="H35" s="79" t="s">
        <v>29</v>
      </c>
      <c r="I35" s="11" t="s">
        <v>20</v>
      </c>
      <c r="J35" s="74">
        <v>0</v>
      </c>
      <c r="K35" s="91" t="str">
        <f>IF((J37="NA"),"NA",((J37/F35)*10))</f>
        <v>NA</v>
      </c>
      <c r="L35" s="107"/>
      <c r="M35" s="88"/>
      <c r="N35" s="126"/>
      <c r="O35" s="129"/>
      <c r="P35" s="182"/>
      <c r="Q35" s="195" t="s">
        <v>63</v>
      </c>
    </row>
    <row r="36" spans="1:18" s="14" customFormat="1" ht="34.5" customHeight="1" x14ac:dyDescent="0.2">
      <c r="A36" s="9"/>
      <c r="B36" s="144"/>
      <c r="C36" s="101"/>
      <c r="D36" s="146"/>
      <c r="E36" s="98"/>
      <c r="F36" s="99"/>
      <c r="G36" s="99"/>
      <c r="H36" s="80"/>
      <c r="I36" s="12" t="s">
        <v>24</v>
      </c>
      <c r="J36" s="75">
        <v>1</v>
      </c>
      <c r="K36" s="91"/>
      <c r="L36" s="107"/>
      <c r="M36" s="88"/>
      <c r="N36" s="126"/>
      <c r="O36" s="129"/>
      <c r="P36" s="182"/>
      <c r="Q36" s="196"/>
    </row>
    <row r="37" spans="1:18" s="14" customFormat="1" ht="36.75" customHeight="1" x14ac:dyDescent="0.2">
      <c r="A37" s="9"/>
      <c r="B37" s="144"/>
      <c r="C37" s="102"/>
      <c r="D37" s="146"/>
      <c r="E37" s="98"/>
      <c r="F37" s="99"/>
      <c r="G37" s="99"/>
      <c r="H37" s="81"/>
      <c r="I37" s="13" t="s">
        <v>26</v>
      </c>
      <c r="J37" s="6" t="str">
        <f>IF(AND(H35="Si"),(J35/J36),"NA")</f>
        <v>NA</v>
      </c>
      <c r="K37" s="91"/>
      <c r="L37" s="107"/>
      <c r="M37" s="88"/>
      <c r="N37" s="126"/>
      <c r="O37" s="129"/>
      <c r="P37" s="182"/>
      <c r="Q37" s="197"/>
    </row>
    <row r="38" spans="1:18" ht="41.25" customHeight="1" x14ac:dyDescent="0.2">
      <c r="B38" s="144"/>
      <c r="C38" s="100" t="s">
        <v>64</v>
      </c>
      <c r="D38" s="100" t="s">
        <v>65</v>
      </c>
      <c r="E38" s="103" t="s">
        <v>66</v>
      </c>
      <c r="F38" s="111" t="s">
        <v>55</v>
      </c>
      <c r="G38" s="112"/>
      <c r="H38" s="79" t="s">
        <v>29</v>
      </c>
      <c r="I38" s="11" t="s">
        <v>20</v>
      </c>
      <c r="J38" s="74"/>
      <c r="K38" s="106" t="str">
        <f>IF((J40="NA"),"NA",IF(J38&gt;10,0,(((1-(J38/10))*10))))</f>
        <v>NA</v>
      </c>
      <c r="L38" s="107"/>
      <c r="M38" s="88"/>
      <c r="N38" s="126"/>
      <c r="O38" s="129"/>
      <c r="P38" s="182"/>
      <c r="Q38" s="192" t="s">
        <v>67</v>
      </c>
    </row>
    <row r="39" spans="1:18" ht="39" customHeight="1" x14ac:dyDescent="0.2">
      <c r="B39" s="144"/>
      <c r="C39" s="101"/>
      <c r="D39" s="101"/>
      <c r="E39" s="90"/>
      <c r="F39" s="113"/>
      <c r="G39" s="114"/>
      <c r="H39" s="80"/>
      <c r="I39" s="12" t="s">
        <v>35</v>
      </c>
      <c r="J39" s="29" t="str">
        <f>IF(H38="Si",1,"")</f>
        <v/>
      </c>
      <c r="K39" s="107"/>
      <c r="L39" s="107"/>
      <c r="M39" s="88"/>
      <c r="N39" s="126"/>
      <c r="O39" s="129"/>
      <c r="P39" s="182"/>
      <c r="Q39" s="193"/>
    </row>
    <row r="40" spans="1:18" ht="33" customHeight="1" x14ac:dyDescent="0.2">
      <c r="B40" s="145"/>
      <c r="C40" s="102"/>
      <c r="D40" s="102"/>
      <c r="E40" s="83"/>
      <c r="F40" s="115"/>
      <c r="G40" s="116"/>
      <c r="H40" s="81"/>
      <c r="I40" s="13" t="s">
        <v>48</v>
      </c>
      <c r="J40" s="7" t="str">
        <f>IF(AND(H38="Si"),(J38&amp;"/"&amp;J39&amp;"min"),"NA")</f>
        <v>NA</v>
      </c>
      <c r="K40" s="108"/>
      <c r="L40" s="108"/>
      <c r="M40" s="89"/>
      <c r="N40" s="127"/>
      <c r="O40" s="130"/>
      <c r="P40" s="182"/>
      <c r="Q40" s="194"/>
    </row>
    <row r="41" spans="1:18" ht="5.25" customHeight="1" x14ac:dyDescent="0.2">
      <c r="B41" s="92"/>
      <c r="C41" s="93"/>
      <c r="D41" s="93"/>
      <c r="E41" s="93"/>
      <c r="F41" s="93"/>
      <c r="G41" s="93"/>
      <c r="H41" s="93"/>
      <c r="I41" s="93"/>
      <c r="J41" s="93"/>
      <c r="K41" s="93"/>
      <c r="L41" s="93"/>
      <c r="M41" s="93"/>
      <c r="N41" s="93"/>
      <c r="O41" s="94"/>
      <c r="P41" s="183"/>
      <c r="Q41" s="72"/>
    </row>
    <row r="42" spans="1:18" ht="33.75" customHeight="1" x14ac:dyDescent="0.2">
      <c r="B42" s="154" t="s">
        <v>68</v>
      </c>
      <c r="C42" s="95" t="s">
        <v>69</v>
      </c>
      <c r="D42" s="95" t="s">
        <v>70</v>
      </c>
      <c r="E42" s="103" t="s">
        <v>71</v>
      </c>
      <c r="F42" s="111" t="s">
        <v>72</v>
      </c>
      <c r="G42" s="112"/>
      <c r="H42" s="79" t="s">
        <v>19</v>
      </c>
      <c r="I42" s="11" t="s">
        <v>20</v>
      </c>
      <c r="J42" s="74">
        <v>532</v>
      </c>
      <c r="K42" s="135">
        <f>IF(OR(J44="NA"),"NA",IF(J44&gt;10,0,((J44/10)*10)))</f>
        <v>4</v>
      </c>
      <c r="L42" s="131">
        <f>IF(AND(H42="No",H45="No",H48="No",H51="No",H53="No",H55="No",H58="No",H61="No",H64),0,AVERAGE(K42:K66))</f>
        <v>3.9411666666666663</v>
      </c>
      <c r="M42" s="87" t="s">
        <v>40</v>
      </c>
      <c r="N42" s="125">
        <v>0.13</v>
      </c>
      <c r="O42" s="128">
        <f>L42*N42</f>
        <v>0.51235166666666665</v>
      </c>
      <c r="P42" s="182"/>
      <c r="Q42" s="201"/>
    </row>
    <row r="43" spans="1:18" ht="33.75" customHeight="1" x14ac:dyDescent="0.2">
      <c r="B43" s="155"/>
      <c r="C43" s="96"/>
      <c r="D43" s="96"/>
      <c r="E43" s="90"/>
      <c r="F43" s="113"/>
      <c r="G43" s="114"/>
      <c r="H43" s="80"/>
      <c r="I43" s="12" t="s">
        <v>24</v>
      </c>
      <c r="J43" s="75">
        <v>536</v>
      </c>
      <c r="K43" s="136"/>
      <c r="L43" s="132"/>
      <c r="M43" s="88"/>
      <c r="N43" s="126"/>
      <c r="O43" s="129"/>
      <c r="P43" s="182"/>
      <c r="Q43" s="202"/>
    </row>
    <row r="44" spans="1:18" ht="35.25" customHeight="1" x14ac:dyDescent="0.2">
      <c r="B44" s="155"/>
      <c r="C44" s="96"/>
      <c r="D44" s="97"/>
      <c r="E44" s="83"/>
      <c r="F44" s="115"/>
      <c r="G44" s="116"/>
      <c r="H44" s="81"/>
      <c r="I44" s="13" t="s">
        <v>26</v>
      </c>
      <c r="J44" s="7">
        <f>IF((H42="Si"),(J43-J42),"NA")</f>
        <v>4</v>
      </c>
      <c r="K44" s="137"/>
      <c r="L44" s="132"/>
      <c r="M44" s="88"/>
      <c r="N44" s="126"/>
      <c r="O44" s="129"/>
      <c r="P44" s="182"/>
      <c r="Q44" s="203"/>
    </row>
    <row r="45" spans="1:18" ht="35.25" customHeight="1" x14ac:dyDescent="0.2">
      <c r="B45" s="155"/>
      <c r="C45" s="96"/>
      <c r="D45" s="95" t="s">
        <v>73</v>
      </c>
      <c r="E45" s="103" t="s">
        <v>74</v>
      </c>
      <c r="F45" s="111" t="s">
        <v>75</v>
      </c>
      <c r="G45" s="112"/>
      <c r="H45" s="79" t="s">
        <v>19</v>
      </c>
      <c r="I45" s="11" t="s">
        <v>20</v>
      </c>
      <c r="J45" s="74">
        <v>0</v>
      </c>
      <c r="K45" s="135">
        <f>IF(OR(J47="NA"),"NA",IF(J47&gt;20,0,((J47/20))*10))</f>
        <v>4</v>
      </c>
      <c r="L45" s="132"/>
      <c r="M45" s="88"/>
      <c r="N45" s="126"/>
      <c r="O45" s="129"/>
      <c r="P45" s="182"/>
      <c r="Q45" s="204"/>
      <c r="R45" s="63"/>
    </row>
    <row r="46" spans="1:18" ht="35.25" customHeight="1" x14ac:dyDescent="0.2">
      <c r="B46" s="155"/>
      <c r="C46" s="96"/>
      <c r="D46" s="96"/>
      <c r="E46" s="90"/>
      <c r="F46" s="113"/>
      <c r="G46" s="114"/>
      <c r="H46" s="80"/>
      <c r="I46" s="12" t="s">
        <v>24</v>
      </c>
      <c r="J46" s="75">
        <v>8</v>
      </c>
      <c r="K46" s="136"/>
      <c r="L46" s="132"/>
      <c r="M46" s="88"/>
      <c r="N46" s="126"/>
      <c r="O46" s="129"/>
      <c r="P46" s="182"/>
      <c r="Q46" s="205"/>
      <c r="R46" s="63"/>
    </row>
    <row r="47" spans="1:18" ht="34.5" customHeight="1" x14ac:dyDescent="0.2">
      <c r="B47" s="155"/>
      <c r="C47" s="96"/>
      <c r="D47" s="97"/>
      <c r="E47" s="83"/>
      <c r="F47" s="115"/>
      <c r="G47" s="116"/>
      <c r="H47" s="81"/>
      <c r="I47" s="13" t="s">
        <v>26</v>
      </c>
      <c r="J47" s="7">
        <f>IF((H45="Si"),(J46-J45),"NA")</f>
        <v>8</v>
      </c>
      <c r="K47" s="137"/>
      <c r="L47" s="132"/>
      <c r="M47" s="88"/>
      <c r="N47" s="126"/>
      <c r="O47" s="129"/>
      <c r="P47" s="182"/>
      <c r="Q47" s="206"/>
      <c r="R47" s="63"/>
    </row>
    <row r="48" spans="1:18" ht="36" customHeight="1" x14ac:dyDescent="0.2">
      <c r="B48" s="155"/>
      <c r="C48" s="96"/>
      <c r="D48" s="95" t="s">
        <v>76</v>
      </c>
      <c r="E48" s="117" t="s">
        <v>77</v>
      </c>
      <c r="F48" s="120" t="s">
        <v>78</v>
      </c>
      <c r="G48" s="121"/>
      <c r="H48" s="79" t="s">
        <v>19</v>
      </c>
      <c r="I48" s="15" t="s">
        <v>20</v>
      </c>
      <c r="J48" s="76">
        <v>38</v>
      </c>
      <c r="K48" s="106">
        <f>IF((J50="NA"),"NA",IF(J48&gt;=10,10,((J48/20)*10)))</f>
        <v>10</v>
      </c>
      <c r="L48" s="132"/>
      <c r="M48" s="88"/>
      <c r="N48" s="126"/>
      <c r="O48" s="129"/>
      <c r="P48" s="182"/>
      <c r="Q48" s="201"/>
    </row>
    <row r="49" spans="2:18" ht="31.5" customHeight="1" x14ac:dyDescent="0.2">
      <c r="B49" s="155"/>
      <c r="C49" s="96"/>
      <c r="D49" s="96"/>
      <c r="E49" s="170"/>
      <c r="F49" s="121"/>
      <c r="G49" s="121"/>
      <c r="H49" s="80"/>
      <c r="I49" s="16" t="s">
        <v>35</v>
      </c>
      <c r="J49" s="28">
        <v>15</v>
      </c>
      <c r="K49" s="107"/>
      <c r="L49" s="132"/>
      <c r="M49" s="88"/>
      <c r="N49" s="126"/>
      <c r="O49" s="129"/>
      <c r="P49" s="182"/>
      <c r="Q49" s="202"/>
    </row>
    <row r="50" spans="2:18" ht="31.5" customHeight="1" x14ac:dyDescent="0.2">
      <c r="B50" s="155"/>
      <c r="C50" s="97"/>
      <c r="D50" s="97"/>
      <c r="E50" s="134"/>
      <c r="F50" s="121"/>
      <c r="G50" s="121"/>
      <c r="H50" s="81"/>
      <c r="I50" s="17" t="s">
        <v>26</v>
      </c>
      <c r="J50" s="7" t="str">
        <f>IF((H48="Si"),(J48&amp;"/"&amp;J49&amp;"min"),"NA")</f>
        <v>38/15min</v>
      </c>
      <c r="K50" s="108"/>
      <c r="L50" s="132"/>
      <c r="M50" s="88"/>
      <c r="N50" s="126"/>
      <c r="O50" s="129"/>
      <c r="P50" s="182"/>
      <c r="Q50" s="203"/>
    </row>
    <row r="51" spans="2:18" ht="43.5" customHeight="1" x14ac:dyDescent="0.2">
      <c r="B51" s="155"/>
      <c r="C51" s="96" t="s">
        <v>79</v>
      </c>
      <c r="D51" s="123" t="s">
        <v>80</v>
      </c>
      <c r="E51" s="117" t="s">
        <v>81</v>
      </c>
      <c r="F51" s="120" t="s">
        <v>82</v>
      </c>
      <c r="G51" s="121"/>
      <c r="H51" s="79" t="s">
        <v>19</v>
      </c>
      <c r="I51" s="11" t="s">
        <v>20</v>
      </c>
      <c r="J51" s="74">
        <v>7.1230000000000002</v>
      </c>
      <c r="K51" s="122">
        <f>IF((J52="NA"),"NA",IF(J52&gt;=10,0,IF(J52=1,10,((1-(J52/10))*10))))</f>
        <v>2.8769999999999998</v>
      </c>
      <c r="L51" s="132"/>
      <c r="M51" s="88"/>
      <c r="N51" s="126"/>
      <c r="O51" s="129"/>
      <c r="P51" s="182"/>
      <c r="Q51" s="201"/>
    </row>
    <row r="52" spans="2:18" ht="34.5" customHeight="1" x14ac:dyDescent="0.2">
      <c r="B52" s="155"/>
      <c r="C52" s="96"/>
      <c r="D52" s="124" t="s">
        <v>83</v>
      </c>
      <c r="E52" s="134"/>
      <c r="F52" s="121"/>
      <c r="G52" s="121"/>
      <c r="H52" s="81"/>
      <c r="I52" s="13" t="s">
        <v>26</v>
      </c>
      <c r="J52" s="6">
        <f>IF(H51="Si",(J51),"NA")</f>
        <v>7.1230000000000002</v>
      </c>
      <c r="K52" s="122"/>
      <c r="L52" s="132"/>
      <c r="M52" s="88"/>
      <c r="N52" s="126"/>
      <c r="O52" s="129"/>
      <c r="P52" s="182"/>
      <c r="Q52" s="203"/>
    </row>
    <row r="53" spans="2:18" ht="33.75" customHeight="1" x14ac:dyDescent="0.2">
      <c r="B53" s="155"/>
      <c r="C53" s="96"/>
      <c r="D53" s="123" t="s">
        <v>84</v>
      </c>
      <c r="E53" s="103" t="s">
        <v>85</v>
      </c>
      <c r="F53" s="111" t="s">
        <v>86</v>
      </c>
      <c r="G53" s="112"/>
      <c r="H53" s="79" t="s">
        <v>19</v>
      </c>
      <c r="I53" s="11" t="s">
        <v>20</v>
      </c>
      <c r="J53" s="74">
        <v>7.23</v>
      </c>
      <c r="K53" s="122">
        <f>IF((J54="NA"),"NA",IF(J54&gt;=10,0,IF(J54=1,10,((1-(J54/10))*10))))</f>
        <v>2.7699999999999991</v>
      </c>
      <c r="L53" s="132"/>
      <c r="M53" s="88"/>
      <c r="N53" s="126"/>
      <c r="O53" s="129"/>
      <c r="P53" s="182"/>
      <c r="Q53" s="201"/>
    </row>
    <row r="54" spans="2:18" ht="34.5" customHeight="1" x14ac:dyDescent="0.2">
      <c r="B54" s="155"/>
      <c r="C54" s="96"/>
      <c r="D54" s="124"/>
      <c r="E54" s="83"/>
      <c r="F54" s="115"/>
      <c r="G54" s="116"/>
      <c r="H54" s="81"/>
      <c r="I54" s="13" t="s">
        <v>87</v>
      </c>
      <c r="J54" s="6">
        <f>IF(H53="Si",(J53),"NA")</f>
        <v>7.23</v>
      </c>
      <c r="K54" s="122"/>
      <c r="L54" s="132"/>
      <c r="M54" s="88"/>
      <c r="N54" s="126"/>
      <c r="O54" s="129"/>
      <c r="P54" s="182"/>
      <c r="Q54" s="203"/>
    </row>
    <row r="55" spans="2:18" ht="33.75" customHeight="1" x14ac:dyDescent="0.2">
      <c r="B55" s="155"/>
      <c r="C55" s="96"/>
      <c r="D55" s="95" t="s">
        <v>88</v>
      </c>
      <c r="E55" s="161" t="s">
        <v>89</v>
      </c>
      <c r="F55" s="104" t="s">
        <v>90</v>
      </c>
      <c r="G55" s="105"/>
      <c r="H55" s="79" t="s">
        <v>19</v>
      </c>
      <c r="I55" s="11" t="s">
        <v>20</v>
      </c>
      <c r="J55" s="74">
        <v>1</v>
      </c>
      <c r="K55" s="135">
        <f>IF((J57="NA"),"NA",IF(J57&gt;15,0,(((1-(J57/15))*10))))</f>
        <v>0</v>
      </c>
      <c r="L55" s="132"/>
      <c r="M55" s="88"/>
      <c r="N55" s="126"/>
      <c r="O55" s="129"/>
      <c r="P55" s="182"/>
      <c r="Q55" s="204"/>
      <c r="R55" s="63"/>
    </row>
    <row r="56" spans="2:18" ht="33.75" customHeight="1" x14ac:dyDescent="0.2">
      <c r="B56" s="155"/>
      <c r="C56" s="96"/>
      <c r="D56" s="96"/>
      <c r="E56" s="162"/>
      <c r="F56" s="105"/>
      <c r="G56" s="105"/>
      <c r="H56" s="80"/>
      <c r="I56" s="12" t="s">
        <v>24</v>
      </c>
      <c r="J56" s="75">
        <v>66</v>
      </c>
      <c r="K56" s="136"/>
      <c r="L56" s="132"/>
      <c r="M56" s="88"/>
      <c r="N56" s="126"/>
      <c r="O56" s="129"/>
      <c r="P56" s="182"/>
      <c r="Q56" s="205"/>
      <c r="R56" s="63"/>
    </row>
    <row r="57" spans="2:18" ht="33.75" customHeight="1" x14ac:dyDescent="0.2">
      <c r="B57" s="155"/>
      <c r="C57" s="97"/>
      <c r="D57" s="97"/>
      <c r="E57" s="163"/>
      <c r="F57" s="105"/>
      <c r="G57" s="105"/>
      <c r="H57" s="81"/>
      <c r="I57" s="13" t="s">
        <v>26</v>
      </c>
      <c r="J57" s="7">
        <f>IF((H55="Si"),(J56-J55),"NA")</f>
        <v>65</v>
      </c>
      <c r="K57" s="137"/>
      <c r="L57" s="132"/>
      <c r="M57" s="88"/>
      <c r="N57" s="126"/>
      <c r="O57" s="129"/>
      <c r="P57" s="182"/>
      <c r="Q57" s="206"/>
      <c r="R57" s="63"/>
    </row>
    <row r="58" spans="2:18" ht="39" customHeight="1" x14ac:dyDescent="0.2">
      <c r="B58" s="155"/>
      <c r="C58" s="100" t="s">
        <v>91</v>
      </c>
      <c r="D58" s="100" t="s">
        <v>92</v>
      </c>
      <c r="E58" s="103" t="s">
        <v>93</v>
      </c>
      <c r="F58" s="104" t="s">
        <v>94</v>
      </c>
      <c r="G58" s="105"/>
      <c r="H58" s="79" t="s">
        <v>29</v>
      </c>
      <c r="I58" s="11" t="s">
        <v>20</v>
      </c>
      <c r="J58" s="76"/>
      <c r="K58" s="106" t="str">
        <f>IF((J60="NA"),"NA",IF(J58&gt;10,10,(((J58/10)*10))))</f>
        <v>NA</v>
      </c>
      <c r="L58" s="132"/>
      <c r="M58" s="88"/>
      <c r="N58" s="126"/>
      <c r="O58" s="129"/>
      <c r="P58" s="182"/>
      <c r="Q58" s="192" t="s">
        <v>95</v>
      </c>
    </row>
    <row r="59" spans="2:18" ht="35.25" customHeight="1" x14ac:dyDescent="0.2">
      <c r="B59" s="155"/>
      <c r="C59" s="101"/>
      <c r="D59" s="101"/>
      <c r="E59" s="90"/>
      <c r="F59" s="105"/>
      <c r="G59" s="105"/>
      <c r="H59" s="80"/>
      <c r="I59" s="12" t="s">
        <v>35</v>
      </c>
      <c r="J59" s="29" t="str">
        <f>IF(H58="Si",3,"")</f>
        <v/>
      </c>
      <c r="K59" s="107"/>
      <c r="L59" s="132"/>
      <c r="M59" s="88"/>
      <c r="N59" s="126"/>
      <c r="O59" s="129"/>
      <c r="P59" s="182"/>
      <c r="Q59" s="193"/>
    </row>
    <row r="60" spans="2:18" ht="33" customHeight="1" x14ac:dyDescent="0.2">
      <c r="B60" s="155"/>
      <c r="C60" s="101"/>
      <c r="D60" s="102"/>
      <c r="E60" s="83"/>
      <c r="F60" s="105"/>
      <c r="G60" s="105"/>
      <c r="H60" s="81"/>
      <c r="I60" s="13" t="s">
        <v>26</v>
      </c>
      <c r="J60" s="7" t="str">
        <f>IF(H58="Si",(J58&amp;"/"&amp;J59&amp;"min"),"NA")</f>
        <v>NA</v>
      </c>
      <c r="K60" s="108"/>
      <c r="L60" s="132"/>
      <c r="M60" s="88"/>
      <c r="N60" s="126"/>
      <c r="O60" s="129"/>
      <c r="P60" s="182"/>
      <c r="Q60" s="194"/>
    </row>
    <row r="61" spans="2:18" ht="33" customHeight="1" x14ac:dyDescent="0.2">
      <c r="B61" s="155"/>
      <c r="C61" s="101"/>
      <c r="D61" s="100" t="s">
        <v>96</v>
      </c>
      <c r="E61" s="103" t="s">
        <v>97</v>
      </c>
      <c r="F61" s="104" t="s">
        <v>94</v>
      </c>
      <c r="G61" s="105"/>
      <c r="H61" s="79" t="s">
        <v>29</v>
      </c>
      <c r="I61" s="11" t="s">
        <v>20</v>
      </c>
      <c r="J61" s="76"/>
      <c r="K61" s="106" t="str">
        <f>IF((J63="NA"),"NA",IF(J61&gt;10,10,(((J61/10)*10))))</f>
        <v>NA</v>
      </c>
      <c r="L61" s="132"/>
      <c r="M61" s="88"/>
      <c r="N61" s="126"/>
      <c r="O61" s="129"/>
      <c r="P61" s="182"/>
      <c r="Q61" s="192" t="s">
        <v>98</v>
      </c>
    </row>
    <row r="62" spans="2:18" ht="33" customHeight="1" x14ac:dyDescent="0.2">
      <c r="B62" s="155"/>
      <c r="C62" s="101"/>
      <c r="D62" s="101"/>
      <c r="E62" s="90"/>
      <c r="F62" s="105"/>
      <c r="G62" s="105"/>
      <c r="H62" s="80"/>
      <c r="I62" s="12" t="s">
        <v>35</v>
      </c>
      <c r="J62" s="29" t="str">
        <f>IF(H61="Si",3,"")</f>
        <v/>
      </c>
      <c r="K62" s="107"/>
      <c r="L62" s="132"/>
      <c r="M62" s="88"/>
      <c r="N62" s="126"/>
      <c r="O62" s="129"/>
      <c r="P62" s="182"/>
      <c r="Q62" s="193"/>
      <c r="R62" s="57"/>
    </row>
    <row r="63" spans="2:18" ht="33" customHeight="1" x14ac:dyDescent="0.2">
      <c r="B63" s="155"/>
      <c r="C63" s="101"/>
      <c r="D63" s="102"/>
      <c r="E63" s="83"/>
      <c r="F63" s="105"/>
      <c r="G63" s="105"/>
      <c r="H63" s="81"/>
      <c r="I63" s="13" t="s">
        <v>26</v>
      </c>
      <c r="J63" s="7" t="str">
        <f>IF(H61="Si",(J61&amp;"/"&amp;J62&amp;"min"),"NA")</f>
        <v>NA</v>
      </c>
      <c r="K63" s="108"/>
      <c r="L63" s="132"/>
      <c r="M63" s="88"/>
      <c r="N63" s="126"/>
      <c r="O63" s="129"/>
      <c r="P63" s="182"/>
      <c r="Q63" s="194"/>
    </row>
    <row r="64" spans="2:18" ht="33" customHeight="1" x14ac:dyDescent="0.2">
      <c r="B64" s="155"/>
      <c r="C64" s="101"/>
      <c r="D64" s="100" t="s">
        <v>99</v>
      </c>
      <c r="E64" s="103" t="s">
        <v>100</v>
      </c>
      <c r="F64" s="104" t="s">
        <v>101</v>
      </c>
      <c r="G64" s="105"/>
      <c r="H64" s="79" t="s">
        <v>29</v>
      </c>
      <c r="I64" s="11" t="s">
        <v>20</v>
      </c>
      <c r="J64" s="76"/>
      <c r="K64" s="106" t="str">
        <f>IF((J66="NA"),"NA",IF(J64&gt;10,10,(((J64/10)*10))))</f>
        <v>NA</v>
      </c>
      <c r="L64" s="132"/>
      <c r="M64" s="88"/>
      <c r="N64" s="126"/>
      <c r="O64" s="129"/>
      <c r="P64" s="182"/>
      <c r="Q64" s="192" t="s">
        <v>102</v>
      </c>
    </row>
    <row r="65" spans="2:18" ht="33" customHeight="1" x14ac:dyDescent="0.2">
      <c r="B65" s="155"/>
      <c r="C65" s="101"/>
      <c r="D65" s="101"/>
      <c r="E65" s="90"/>
      <c r="F65" s="105"/>
      <c r="G65" s="105"/>
      <c r="H65" s="80"/>
      <c r="I65" s="12" t="s">
        <v>35</v>
      </c>
      <c r="J65" s="29" t="str">
        <f>IF(H64="Si",1,"")</f>
        <v/>
      </c>
      <c r="K65" s="107"/>
      <c r="L65" s="132"/>
      <c r="M65" s="88"/>
      <c r="N65" s="126"/>
      <c r="O65" s="129"/>
      <c r="P65" s="182"/>
      <c r="Q65" s="193"/>
    </row>
    <row r="66" spans="2:18" ht="33" customHeight="1" x14ac:dyDescent="0.2">
      <c r="B66" s="156"/>
      <c r="C66" s="102"/>
      <c r="D66" s="102"/>
      <c r="E66" s="83"/>
      <c r="F66" s="105"/>
      <c r="G66" s="105"/>
      <c r="H66" s="81"/>
      <c r="I66" s="13" t="s">
        <v>26</v>
      </c>
      <c r="J66" s="7" t="str">
        <f>IF(H64="Si",(J64&amp;"/"&amp;J65&amp;"min"),"NA")</f>
        <v>NA</v>
      </c>
      <c r="K66" s="108"/>
      <c r="L66" s="133"/>
      <c r="M66" s="89"/>
      <c r="N66" s="127"/>
      <c r="O66" s="130"/>
      <c r="P66" s="182"/>
      <c r="Q66" s="194"/>
    </row>
    <row r="67" spans="2:18" ht="5.25" customHeight="1" x14ac:dyDescent="0.2">
      <c r="B67" s="92"/>
      <c r="C67" s="93"/>
      <c r="D67" s="93"/>
      <c r="E67" s="93"/>
      <c r="F67" s="93"/>
      <c r="G67" s="93"/>
      <c r="H67" s="93"/>
      <c r="I67" s="93"/>
      <c r="J67" s="93"/>
      <c r="K67" s="93"/>
      <c r="L67" s="93"/>
      <c r="M67" s="93"/>
      <c r="N67" s="93"/>
      <c r="O67" s="94"/>
      <c r="P67" s="183"/>
      <c r="Q67" s="72"/>
    </row>
    <row r="68" spans="2:18" ht="36.75" customHeight="1" x14ac:dyDescent="0.2">
      <c r="B68" s="143" t="s">
        <v>103</v>
      </c>
      <c r="C68" s="95" t="s">
        <v>104</v>
      </c>
      <c r="D68" s="95" t="s">
        <v>105</v>
      </c>
      <c r="E68" s="103" t="s">
        <v>106</v>
      </c>
      <c r="F68" s="171">
        <v>1</v>
      </c>
      <c r="G68" s="112"/>
      <c r="H68" s="79" t="s">
        <v>19</v>
      </c>
      <c r="I68" s="11" t="s">
        <v>20</v>
      </c>
      <c r="J68" s="74">
        <v>0</v>
      </c>
      <c r="K68" s="91">
        <f>IF((J70="NA"),"NA",((J70/F68)*10))</f>
        <v>0</v>
      </c>
      <c r="L68" s="106">
        <f>IF(AND(H68="No",H71="No",H74="No",H77="No",H80="No",H83="No",H86="No",H89="No",H92="No",H95="No"),0,AVERAGE(K68:K97))</f>
        <v>5.5585607513154969</v>
      </c>
      <c r="M68" s="87" t="s">
        <v>40</v>
      </c>
      <c r="N68" s="125">
        <v>0.15</v>
      </c>
      <c r="O68" s="128">
        <f>L68*N68</f>
        <v>0.83378411269732455</v>
      </c>
      <c r="P68" s="182"/>
      <c r="Q68" s="201"/>
      <c r="R68" s="57"/>
    </row>
    <row r="69" spans="2:18" ht="37.5" customHeight="1" x14ac:dyDescent="0.2">
      <c r="B69" s="144"/>
      <c r="C69" s="96"/>
      <c r="D69" s="96"/>
      <c r="E69" s="90"/>
      <c r="F69" s="113"/>
      <c r="G69" s="114"/>
      <c r="H69" s="80"/>
      <c r="I69" s="12" t="s">
        <v>24</v>
      </c>
      <c r="J69" s="75">
        <v>87</v>
      </c>
      <c r="K69" s="91"/>
      <c r="L69" s="80"/>
      <c r="M69" s="88"/>
      <c r="N69" s="126"/>
      <c r="O69" s="129"/>
      <c r="P69" s="182"/>
      <c r="Q69" s="202"/>
    </row>
    <row r="70" spans="2:18" ht="42.75" customHeight="1" x14ac:dyDescent="0.2">
      <c r="B70" s="144"/>
      <c r="C70" s="96"/>
      <c r="D70" s="97"/>
      <c r="E70" s="83"/>
      <c r="F70" s="115"/>
      <c r="G70" s="116"/>
      <c r="H70" s="81"/>
      <c r="I70" s="13" t="s">
        <v>26</v>
      </c>
      <c r="J70" s="6">
        <f>IF(AND(H68="Si"),(J68/J69),"NA")</f>
        <v>0</v>
      </c>
      <c r="K70" s="91"/>
      <c r="L70" s="80"/>
      <c r="M70" s="88"/>
      <c r="N70" s="126"/>
      <c r="O70" s="129"/>
      <c r="P70" s="182"/>
      <c r="Q70" s="203"/>
    </row>
    <row r="71" spans="2:18" ht="38.25" customHeight="1" x14ac:dyDescent="0.2">
      <c r="B71" s="144"/>
      <c r="C71" s="96"/>
      <c r="D71" s="95" t="s">
        <v>107</v>
      </c>
      <c r="E71" s="103" t="s">
        <v>108</v>
      </c>
      <c r="F71" s="104">
        <v>1</v>
      </c>
      <c r="G71" s="105"/>
      <c r="H71" s="79" t="s">
        <v>19</v>
      </c>
      <c r="I71" s="11" t="s">
        <v>20</v>
      </c>
      <c r="J71" s="74">
        <v>38</v>
      </c>
      <c r="K71" s="91">
        <f>IF((J73="NA"),"NA",((J73/F71)*10))</f>
        <v>4.2696629213483144</v>
      </c>
      <c r="L71" s="80"/>
      <c r="M71" s="88"/>
      <c r="N71" s="126"/>
      <c r="O71" s="129"/>
      <c r="P71" s="182"/>
      <c r="Q71" s="201"/>
    </row>
    <row r="72" spans="2:18" ht="33.75" customHeight="1" x14ac:dyDescent="0.2">
      <c r="B72" s="144"/>
      <c r="C72" s="96"/>
      <c r="D72" s="96"/>
      <c r="E72" s="90"/>
      <c r="F72" s="105"/>
      <c r="G72" s="105"/>
      <c r="H72" s="80"/>
      <c r="I72" s="12" t="s">
        <v>24</v>
      </c>
      <c r="J72" s="75">
        <v>89</v>
      </c>
      <c r="K72" s="91"/>
      <c r="L72" s="80"/>
      <c r="M72" s="88"/>
      <c r="N72" s="126"/>
      <c r="O72" s="129"/>
      <c r="P72" s="182"/>
      <c r="Q72" s="202"/>
      <c r="R72" s="57"/>
    </row>
    <row r="73" spans="2:18" ht="33.75" customHeight="1" x14ac:dyDescent="0.2">
      <c r="B73" s="144"/>
      <c r="C73" s="97"/>
      <c r="D73" s="97"/>
      <c r="E73" s="83"/>
      <c r="F73" s="105"/>
      <c r="G73" s="105"/>
      <c r="H73" s="81"/>
      <c r="I73" s="13" t="s">
        <v>26</v>
      </c>
      <c r="J73" s="6">
        <f>IF(AND(H71="Si"),(J71/J72),"NA")</f>
        <v>0.42696629213483145</v>
      </c>
      <c r="K73" s="91"/>
      <c r="L73" s="80"/>
      <c r="M73" s="88"/>
      <c r="N73" s="126"/>
      <c r="O73" s="129"/>
      <c r="P73" s="182"/>
      <c r="Q73" s="203"/>
    </row>
    <row r="74" spans="2:18" ht="36" customHeight="1" x14ac:dyDescent="0.2">
      <c r="B74" s="144"/>
      <c r="C74" s="96" t="s">
        <v>109</v>
      </c>
      <c r="D74" s="95" t="s">
        <v>110</v>
      </c>
      <c r="E74" s="103" t="s">
        <v>111</v>
      </c>
      <c r="F74" s="104">
        <v>1</v>
      </c>
      <c r="G74" s="105"/>
      <c r="H74" s="79" t="s">
        <v>19</v>
      </c>
      <c r="I74" s="11" t="s">
        <v>20</v>
      </c>
      <c r="J74" s="74">
        <v>80</v>
      </c>
      <c r="K74" s="91">
        <f>IF((J76="NA"),"NA",((J76/F74)*10))</f>
        <v>9.1954022988505741</v>
      </c>
      <c r="L74" s="80"/>
      <c r="M74" s="88"/>
      <c r="N74" s="126"/>
      <c r="O74" s="129"/>
      <c r="P74" s="182"/>
      <c r="Q74" s="201"/>
    </row>
    <row r="75" spans="2:18" ht="34.5" customHeight="1" x14ac:dyDescent="0.2">
      <c r="B75" s="144"/>
      <c r="C75" s="96"/>
      <c r="D75" s="96"/>
      <c r="E75" s="90"/>
      <c r="F75" s="105"/>
      <c r="G75" s="105"/>
      <c r="H75" s="80"/>
      <c r="I75" s="12" t="s">
        <v>24</v>
      </c>
      <c r="J75" s="75">
        <v>87</v>
      </c>
      <c r="K75" s="91"/>
      <c r="L75" s="80"/>
      <c r="M75" s="88"/>
      <c r="N75" s="126"/>
      <c r="O75" s="129"/>
      <c r="P75" s="182"/>
      <c r="Q75" s="202"/>
    </row>
    <row r="76" spans="2:18" ht="36" customHeight="1" x14ac:dyDescent="0.2">
      <c r="B76" s="144"/>
      <c r="C76" s="97"/>
      <c r="D76" s="97"/>
      <c r="E76" s="83"/>
      <c r="F76" s="105"/>
      <c r="G76" s="105"/>
      <c r="H76" s="81"/>
      <c r="I76" s="13" t="s">
        <v>26</v>
      </c>
      <c r="J76" s="6">
        <f>IF(AND(H74="Si"),(J74/J75),"NA")</f>
        <v>0.91954022988505746</v>
      </c>
      <c r="K76" s="91"/>
      <c r="L76" s="80"/>
      <c r="M76" s="88"/>
      <c r="N76" s="126"/>
      <c r="O76" s="129"/>
      <c r="P76" s="182"/>
      <c r="Q76" s="203"/>
    </row>
    <row r="77" spans="2:18" ht="38.25" customHeight="1" x14ac:dyDescent="0.2">
      <c r="B77" s="144"/>
      <c r="C77" s="96" t="s">
        <v>112</v>
      </c>
      <c r="D77" s="95" t="s">
        <v>113</v>
      </c>
      <c r="E77" s="103" t="s">
        <v>114</v>
      </c>
      <c r="F77" s="171">
        <v>1</v>
      </c>
      <c r="G77" s="112"/>
      <c r="H77" s="79" t="s">
        <v>19</v>
      </c>
      <c r="I77" s="11" t="s">
        <v>20</v>
      </c>
      <c r="J77" s="74">
        <v>69</v>
      </c>
      <c r="K77" s="91">
        <f>IF((J79="NA"),"NA",((J79/F77)*10))</f>
        <v>10</v>
      </c>
      <c r="L77" s="80"/>
      <c r="M77" s="88"/>
      <c r="N77" s="126"/>
      <c r="O77" s="129"/>
      <c r="P77" s="182"/>
      <c r="Q77" s="201"/>
    </row>
    <row r="78" spans="2:18" ht="36.75" customHeight="1" x14ac:dyDescent="0.2">
      <c r="B78" s="144"/>
      <c r="C78" s="96"/>
      <c r="D78" s="96"/>
      <c r="E78" s="90"/>
      <c r="F78" s="113"/>
      <c r="G78" s="114"/>
      <c r="H78" s="80"/>
      <c r="I78" s="12" t="s">
        <v>24</v>
      </c>
      <c r="J78" s="75">
        <v>69</v>
      </c>
      <c r="K78" s="91"/>
      <c r="L78" s="80"/>
      <c r="M78" s="88"/>
      <c r="N78" s="126"/>
      <c r="O78" s="129"/>
      <c r="P78" s="182"/>
      <c r="Q78" s="202"/>
    </row>
    <row r="79" spans="2:18" ht="39.75" customHeight="1" x14ac:dyDescent="0.2">
      <c r="B79" s="144"/>
      <c r="C79" s="96"/>
      <c r="D79" s="97"/>
      <c r="E79" s="83"/>
      <c r="F79" s="115"/>
      <c r="G79" s="116"/>
      <c r="H79" s="81"/>
      <c r="I79" s="13" t="s">
        <v>26</v>
      </c>
      <c r="J79" s="6">
        <f>IF(AND(H77="Si"),(J77/J78),"NA")</f>
        <v>1</v>
      </c>
      <c r="K79" s="91"/>
      <c r="L79" s="80"/>
      <c r="M79" s="88"/>
      <c r="N79" s="126"/>
      <c r="O79" s="129"/>
      <c r="P79" s="182"/>
      <c r="Q79" s="203"/>
    </row>
    <row r="80" spans="2:18" ht="34.5" customHeight="1" x14ac:dyDescent="0.2">
      <c r="B80" s="144"/>
      <c r="C80" s="96"/>
      <c r="D80" s="95" t="s">
        <v>115</v>
      </c>
      <c r="E80" s="103" t="s">
        <v>116</v>
      </c>
      <c r="F80" s="171">
        <v>0</v>
      </c>
      <c r="G80" s="112"/>
      <c r="H80" s="79" t="s">
        <v>19</v>
      </c>
      <c r="I80" s="11" t="s">
        <v>20</v>
      </c>
      <c r="J80" s="74">
        <v>2</v>
      </c>
      <c r="K80" s="122">
        <f>IF((J82="NA"),"NA",((1-J82)*10))</f>
        <v>9.7701149425287355</v>
      </c>
      <c r="L80" s="80"/>
      <c r="M80" s="88"/>
      <c r="N80" s="126"/>
      <c r="O80" s="129"/>
      <c r="P80" s="182"/>
      <c r="Q80" s="201"/>
    </row>
    <row r="81" spans="2:18" ht="35.25" customHeight="1" x14ac:dyDescent="0.2">
      <c r="B81" s="144"/>
      <c r="C81" s="96"/>
      <c r="D81" s="96"/>
      <c r="E81" s="90"/>
      <c r="F81" s="113"/>
      <c r="G81" s="114"/>
      <c r="H81" s="80"/>
      <c r="I81" s="12" t="s">
        <v>24</v>
      </c>
      <c r="J81" s="75">
        <v>87</v>
      </c>
      <c r="K81" s="122"/>
      <c r="L81" s="80"/>
      <c r="M81" s="88"/>
      <c r="N81" s="126"/>
      <c r="O81" s="129"/>
      <c r="P81" s="182"/>
      <c r="Q81" s="202"/>
      <c r="R81" s="57"/>
    </row>
    <row r="82" spans="2:18" ht="33.75" customHeight="1" x14ac:dyDescent="0.2">
      <c r="B82" s="144"/>
      <c r="C82" s="96"/>
      <c r="D82" s="97"/>
      <c r="E82" s="83"/>
      <c r="F82" s="115"/>
      <c r="G82" s="116"/>
      <c r="H82" s="81"/>
      <c r="I82" s="13" t="s">
        <v>87</v>
      </c>
      <c r="J82" s="6">
        <f>IF(AND(H80="Si"),((J80/J81)),"NA")</f>
        <v>2.2988505747126436E-2</v>
      </c>
      <c r="K82" s="122"/>
      <c r="L82" s="80"/>
      <c r="M82" s="88"/>
      <c r="N82" s="126"/>
      <c r="O82" s="129"/>
      <c r="P82" s="182"/>
      <c r="Q82" s="203"/>
    </row>
    <row r="83" spans="2:18" ht="34.5" customHeight="1" x14ac:dyDescent="0.2">
      <c r="B83" s="144"/>
      <c r="C83" s="96"/>
      <c r="D83" s="95" t="s">
        <v>117</v>
      </c>
      <c r="E83" s="103" t="s">
        <v>118</v>
      </c>
      <c r="F83" s="171">
        <v>1</v>
      </c>
      <c r="G83" s="112"/>
      <c r="H83" s="79" t="s">
        <v>19</v>
      </c>
      <c r="I83" s="11" t="s">
        <v>20</v>
      </c>
      <c r="J83" s="74">
        <v>44</v>
      </c>
      <c r="K83" s="91">
        <f>IF((J85="NA"),"NA",((J85/F83)*10))</f>
        <v>8.4615384615384617</v>
      </c>
      <c r="L83" s="80"/>
      <c r="M83" s="88"/>
      <c r="N83" s="126"/>
      <c r="O83" s="129"/>
      <c r="P83" s="182"/>
      <c r="Q83" s="204"/>
      <c r="R83" s="63"/>
    </row>
    <row r="84" spans="2:18" ht="34.5" customHeight="1" x14ac:dyDescent="0.2">
      <c r="B84" s="144"/>
      <c r="C84" s="96"/>
      <c r="D84" s="96"/>
      <c r="E84" s="90"/>
      <c r="F84" s="113"/>
      <c r="G84" s="114"/>
      <c r="H84" s="80"/>
      <c r="I84" s="12" t="s">
        <v>24</v>
      </c>
      <c r="J84" s="75">
        <v>52</v>
      </c>
      <c r="K84" s="91"/>
      <c r="L84" s="80"/>
      <c r="M84" s="88"/>
      <c r="N84" s="126"/>
      <c r="O84" s="129"/>
      <c r="P84" s="182"/>
      <c r="Q84" s="205"/>
      <c r="R84" s="63"/>
    </row>
    <row r="85" spans="2:18" ht="34.5" customHeight="1" x14ac:dyDescent="0.2">
      <c r="B85" s="144"/>
      <c r="C85" s="97"/>
      <c r="D85" s="97"/>
      <c r="E85" s="83"/>
      <c r="F85" s="115"/>
      <c r="G85" s="116"/>
      <c r="H85" s="81"/>
      <c r="I85" s="13" t="s">
        <v>26</v>
      </c>
      <c r="J85" s="6">
        <f>IF(AND(H83="Si"),(J83/J84),"NA")</f>
        <v>0.84615384615384615</v>
      </c>
      <c r="K85" s="91"/>
      <c r="L85" s="80"/>
      <c r="M85" s="88"/>
      <c r="N85" s="126"/>
      <c r="O85" s="129"/>
      <c r="P85" s="182"/>
      <c r="Q85" s="206"/>
      <c r="R85" s="63"/>
    </row>
    <row r="86" spans="2:18" ht="34.5" customHeight="1" x14ac:dyDescent="0.2">
      <c r="B86" s="144"/>
      <c r="C86" s="96" t="s">
        <v>119</v>
      </c>
      <c r="D86" s="95" t="s">
        <v>120</v>
      </c>
      <c r="E86" s="103" t="s">
        <v>121</v>
      </c>
      <c r="F86" s="171">
        <v>1</v>
      </c>
      <c r="G86" s="112"/>
      <c r="H86" s="79" t="s">
        <v>19</v>
      </c>
      <c r="I86" s="11" t="s">
        <v>20</v>
      </c>
      <c r="J86" s="74">
        <v>2</v>
      </c>
      <c r="K86" s="91">
        <f>IF((J88="NA"),"NA",((J88/F86)*10))</f>
        <v>5</v>
      </c>
      <c r="L86" s="80"/>
      <c r="M86" s="88"/>
      <c r="N86" s="126"/>
      <c r="O86" s="129"/>
      <c r="P86" s="182"/>
      <c r="Q86" s="209" t="str">
        <f>IF(N170=100%," ","ERROR:
Revisar la columna PORCENTAJE DE IMPORTANCIA, los valores que fueron ingresados en las distintas celdas no deben sobrepasar el 100%")</f>
        <v xml:space="preserve"> </v>
      </c>
    </row>
    <row r="87" spans="2:18" ht="34.5" customHeight="1" x14ac:dyDescent="0.2">
      <c r="B87" s="144"/>
      <c r="C87" s="96"/>
      <c r="D87" s="96"/>
      <c r="E87" s="90"/>
      <c r="F87" s="113"/>
      <c r="G87" s="114"/>
      <c r="H87" s="80"/>
      <c r="I87" s="12" t="s">
        <v>24</v>
      </c>
      <c r="J87" s="75">
        <v>4</v>
      </c>
      <c r="K87" s="91"/>
      <c r="L87" s="80"/>
      <c r="M87" s="88"/>
      <c r="N87" s="126"/>
      <c r="O87" s="129"/>
      <c r="P87" s="182"/>
      <c r="Q87" s="210"/>
    </row>
    <row r="88" spans="2:18" ht="34.5" customHeight="1" x14ac:dyDescent="0.2">
      <c r="B88" s="144"/>
      <c r="C88" s="96"/>
      <c r="D88" s="97"/>
      <c r="E88" s="83"/>
      <c r="F88" s="115"/>
      <c r="G88" s="116"/>
      <c r="H88" s="81"/>
      <c r="I88" s="13" t="s">
        <v>26</v>
      </c>
      <c r="J88" s="6">
        <f>IF(AND(H86="Si"),(J86/J87),"NA")</f>
        <v>0.5</v>
      </c>
      <c r="K88" s="91"/>
      <c r="L88" s="80"/>
      <c r="M88" s="88"/>
      <c r="N88" s="126"/>
      <c r="O88" s="129"/>
      <c r="P88" s="182"/>
      <c r="Q88" s="211"/>
    </row>
    <row r="89" spans="2:18" ht="34.5" customHeight="1" x14ac:dyDescent="0.2">
      <c r="B89" s="144"/>
      <c r="C89" s="96"/>
      <c r="D89" s="95" t="s">
        <v>122</v>
      </c>
      <c r="E89" s="103" t="s">
        <v>123</v>
      </c>
      <c r="F89" s="171">
        <v>1</v>
      </c>
      <c r="G89" s="112"/>
      <c r="H89" s="79" t="s">
        <v>19</v>
      </c>
      <c r="I89" s="11" t="s">
        <v>20</v>
      </c>
      <c r="J89" s="74">
        <v>8</v>
      </c>
      <c r="K89" s="91">
        <f>IF((J91="NA"),"NA",((J91/F89)*10))</f>
        <v>8.8888888888888893</v>
      </c>
      <c r="L89" s="80"/>
      <c r="M89" s="88"/>
      <c r="N89" s="126"/>
      <c r="O89" s="129"/>
      <c r="P89" s="182"/>
      <c r="Q89" s="209"/>
      <c r="R89" s="57"/>
    </row>
    <row r="90" spans="2:18" ht="34.5" customHeight="1" x14ac:dyDescent="0.2">
      <c r="B90" s="144"/>
      <c r="C90" s="96"/>
      <c r="D90" s="96"/>
      <c r="E90" s="90"/>
      <c r="F90" s="113"/>
      <c r="G90" s="114"/>
      <c r="H90" s="80"/>
      <c r="I90" s="12" t="s">
        <v>24</v>
      </c>
      <c r="J90" s="75">
        <v>9</v>
      </c>
      <c r="K90" s="91"/>
      <c r="L90" s="80"/>
      <c r="M90" s="88"/>
      <c r="N90" s="126"/>
      <c r="O90" s="129"/>
      <c r="P90" s="182"/>
      <c r="Q90" s="210"/>
      <c r="R90" s="57"/>
    </row>
    <row r="91" spans="2:18" ht="45" customHeight="1" x14ac:dyDescent="0.2">
      <c r="B91" s="144"/>
      <c r="C91" s="97"/>
      <c r="D91" s="97"/>
      <c r="E91" s="83"/>
      <c r="F91" s="115"/>
      <c r="G91" s="116"/>
      <c r="H91" s="81"/>
      <c r="I91" s="13" t="s">
        <v>26</v>
      </c>
      <c r="J91" s="6">
        <f>IF(AND(H89="Si"),(J89/J90),"NA")</f>
        <v>0.88888888888888884</v>
      </c>
      <c r="K91" s="91"/>
      <c r="L91" s="80"/>
      <c r="M91" s="88"/>
      <c r="N91" s="126"/>
      <c r="O91" s="129"/>
      <c r="P91" s="182"/>
      <c r="Q91" s="211"/>
    </row>
    <row r="92" spans="2:18" ht="34.5" customHeight="1" x14ac:dyDescent="0.2">
      <c r="B92" s="144"/>
      <c r="C92" s="95" t="s">
        <v>124</v>
      </c>
      <c r="D92" s="95" t="s">
        <v>125</v>
      </c>
      <c r="E92" s="103" t="s">
        <v>126</v>
      </c>
      <c r="F92" s="171">
        <v>1</v>
      </c>
      <c r="G92" s="112"/>
      <c r="H92" s="79" t="s">
        <v>19</v>
      </c>
      <c r="I92" s="11" t="s">
        <v>20</v>
      </c>
      <c r="J92" s="74">
        <v>0</v>
      </c>
      <c r="K92" s="91">
        <f>IF((J94="NA"),"NA",((J94/F92)*10))</f>
        <v>0</v>
      </c>
      <c r="L92" s="80"/>
      <c r="M92" s="88"/>
      <c r="N92" s="126"/>
      <c r="O92" s="129"/>
      <c r="P92" s="182"/>
      <c r="Q92" s="201"/>
    </row>
    <row r="93" spans="2:18" ht="34.5" customHeight="1" x14ac:dyDescent="0.2">
      <c r="B93" s="144"/>
      <c r="C93" s="96"/>
      <c r="D93" s="96"/>
      <c r="E93" s="90"/>
      <c r="F93" s="113"/>
      <c r="G93" s="114"/>
      <c r="H93" s="80"/>
      <c r="I93" s="12" t="s">
        <v>24</v>
      </c>
      <c r="J93" s="75">
        <v>7</v>
      </c>
      <c r="K93" s="91"/>
      <c r="L93" s="80"/>
      <c r="M93" s="88"/>
      <c r="N93" s="126"/>
      <c r="O93" s="129"/>
      <c r="P93" s="182"/>
      <c r="Q93" s="202"/>
    </row>
    <row r="94" spans="2:18" ht="34.5" customHeight="1" x14ac:dyDescent="0.2">
      <c r="B94" s="144"/>
      <c r="C94" s="97"/>
      <c r="D94" s="97"/>
      <c r="E94" s="83"/>
      <c r="F94" s="115"/>
      <c r="G94" s="116"/>
      <c r="H94" s="81"/>
      <c r="I94" s="13" t="s">
        <v>26</v>
      </c>
      <c r="J94" s="6">
        <f>IF(AND(H92="Si"),(J92/J93),"NA")</f>
        <v>0</v>
      </c>
      <c r="K94" s="91"/>
      <c r="L94" s="80"/>
      <c r="M94" s="88"/>
      <c r="N94" s="126"/>
      <c r="O94" s="129"/>
      <c r="P94" s="182"/>
      <c r="Q94" s="203"/>
    </row>
    <row r="95" spans="2:18" ht="34.5" customHeight="1" x14ac:dyDescent="0.2">
      <c r="B95" s="144"/>
      <c r="C95" s="95" t="s">
        <v>127</v>
      </c>
      <c r="D95" s="95" t="s">
        <v>128</v>
      </c>
      <c r="E95" s="103" t="s">
        <v>129</v>
      </c>
      <c r="F95" s="171">
        <v>1</v>
      </c>
      <c r="G95" s="112"/>
      <c r="H95" s="79" t="s">
        <v>19</v>
      </c>
      <c r="I95" s="11" t="s">
        <v>20</v>
      </c>
      <c r="J95" s="74">
        <v>0</v>
      </c>
      <c r="K95" s="91">
        <f>IF((J97="NA"),"NA",((J97/F95)*10))</f>
        <v>0</v>
      </c>
      <c r="L95" s="80"/>
      <c r="M95" s="88"/>
      <c r="N95" s="126"/>
      <c r="O95" s="129"/>
      <c r="P95" s="182"/>
      <c r="Q95" s="215"/>
      <c r="R95" s="63"/>
    </row>
    <row r="96" spans="2:18" ht="34.5" customHeight="1" x14ac:dyDescent="0.2">
      <c r="B96" s="144"/>
      <c r="C96" s="96"/>
      <c r="D96" s="96"/>
      <c r="E96" s="90"/>
      <c r="F96" s="113"/>
      <c r="G96" s="114"/>
      <c r="H96" s="80"/>
      <c r="I96" s="12" t="s">
        <v>24</v>
      </c>
      <c r="J96" s="75">
        <v>87</v>
      </c>
      <c r="K96" s="91"/>
      <c r="L96" s="80"/>
      <c r="M96" s="88"/>
      <c r="N96" s="126"/>
      <c r="O96" s="129"/>
      <c r="P96" s="181"/>
      <c r="Q96" s="216"/>
      <c r="R96" s="63"/>
    </row>
    <row r="97" spans="2:18" ht="34.5" customHeight="1" x14ac:dyDescent="0.2">
      <c r="B97" s="145"/>
      <c r="C97" s="97"/>
      <c r="D97" s="97"/>
      <c r="E97" s="83"/>
      <c r="F97" s="115"/>
      <c r="G97" s="116"/>
      <c r="H97" s="81"/>
      <c r="I97" s="13" t="s">
        <v>26</v>
      </c>
      <c r="J97" s="6">
        <f>IF(AND(H95="Si"),(J95/J96),"NA")</f>
        <v>0</v>
      </c>
      <c r="K97" s="91"/>
      <c r="L97" s="81"/>
      <c r="M97" s="89"/>
      <c r="N97" s="127"/>
      <c r="O97" s="130"/>
      <c r="P97" s="181"/>
      <c r="Q97" s="217"/>
      <c r="R97" s="63"/>
    </row>
    <row r="98" spans="2:18" ht="5.25" customHeight="1" x14ac:dyDescent="0.2">
      <c r="B98" s="92"/>
      <c r="C98" s="93"/>
      <c r="D98" s="93"/>
      <c r="E98" s="93"/>
      <c r="F98" s="93"/>
      <c r="G98" s="93"/>
      <c r="H98" s="93"/>
      <c r="I98" s="93"/>
      <c r="J98" s="93"/>
      <c r="K98" s="93"/>
      <c r="L98" s="93"/>
      <c r="M98" s="93"/>
      <c r="N98" s="93"/>
      <c r="O98" s="94"/>
      <c r="P98" s="183"/>
      <c r="Q98" s="71"/>
      <c r="R98" s="63"/>
    </row>
    <row r="99" spans="2:18" ht="30.75" customHeight="1" x14ac:dyDescent="0.2">
      <c r="B99" s="172" t="s">
        <v>130</v>
      </c>
      <c r="C99" s="95" t="s">
        <v>131</v>
      </c>
      <c r="D99" s="95" t="s">
        <v>132</v>
      </c>
      <c r="E99" s="103" t="s">
        <v>133</v>
      </c>
      <c r="F99" s="171">
        <v>1</v>
      </c>
      <c r="G99" s="112"/>
      <c r="H99" s="79" t="s">
        <v>19</v>
      </c>
      <c r="I99" s="11" t="s">
        <v>20</v>
      </c>
      <c r="J99" s="74">
        <v>1</v>
      </c>
      <c r="K99" s="91">
        <f>IF((J101="NA"),"NA",((J101/F99)*10))</f>
        <v>10</v>
      </c>
      <c r="L99" s="106">
        <f>IF(AND(H99="No",H102="No",H105="No",H108="No",H111="No"),0,AVERAGE(K99:K115))</f>
        <v>9.4642857142857153</v>
      </c>
      <c r="M99" s="87" t="s">
        <v>134</v>
      </c>
      <c r="N99" s="125">
        <v>0.05</v>
      </c>
      <c r="O99" s="128">
        <f>L99*N99</f>
        <v>0.47321428571428581</v>
      </c>
      <c r="P99" s="182"/>
      <c r="Q99" s="201"/>
    </row>
    <row r="100" spans="2:18" ht="32.25" customHeight="1" x14ac:dyDescent="0.2">
      <c r="B100" s="172"/>
      <c r="C100" s="96"/>
      <c r="D100" s="96"/>
      <c r="E100" s="90"/>
      <c r="F100" s="113"/>
      <c r="G100" s="114"/>
      <c r="H100" s="80"/>
      <c r="I100" s="12" t="s">
        <v>24</v>
      </c>
      <c r="J100" s="75">
        <v>1</v>
      </c>
      <c r="K100" s="91"/>
      <c r="L100" s="80"/>
      <c r="M100" s="88"/>
      <c r="N100" s="126"/>
      <c r="O100" s="129"/>
      <c r="P100" s="182"/>
      <c r="Q100" s="202"/>
    </row>
    <row r="101" spans="2:18" ht="33" customHeight="1" x14ac:dyDescent="0.2">
      <c r="B101" s="172"/>
      <c r="C101" s="96"/>
      <c r="D101" s="97"/>
      <c r="E101" s="83"/>
      <c r="F101" s="115"/>
      <c r="G101" s="116"/>
      <c r="H101" s="81"/>
      <c r="I101" s="13" t="s">
        <v>26</v>
      </c>
      <c r="J101" s="6">
        <f>IF(AND(H99="Si"),(J99/J100),"NA")</f>
        <v>1</v>
      </c>
      <c r="K101" s="91"/>
      <c r="L101" s="80"/>
      <c r="M101" s="88"/>
      <c r="N101" s="126"/>
      <c r="O101" s="129"/>
      <c r="P101" s="182"/>
      <c r="Q101" s="203"/>
    </row>
    <row r="102" spans="2:18" ht="42" customHeight="1" x14ac:dyDescent="0.2">
      <c r="B102" s="172"/>
      <c r="C102" s="96"/>
      <c r="D102" s="100" t="s">
        <v>135</v>
      </c>
      <c r="E102" s="103" t="s">
        <v>136</v>
      </c>
      <c r="F102" s="171">
        <v>1</v>
      </c>
      <c r="G102" s="112"/>
      <c r="H102" s="79" t="s">
        <v>29</v>
      </c>
      <c r="I102" s="11" t="s">
        <v>20</v>
      </c>
      <c r="J102" s="74">
        <v>0</v>
      </c>
      <c r="K102" s="91" t="str">
        <f>IF((J104="NA"),"NA",((J104/F102)*10))</f>
        <v>NA</v>
      </c>
      <c r="L102" s="80"/>
      <c r="M102" s="88"/>
      <c r="N102" s="126"/>
      <c r="O102" s="129"/>
      <c r="P102" s="182"/>
      <c r="Q102" s="204"/>
      <c r="R102" s="63"/>
    </row>
    <row r="103" spans="2:18" ht="39" customHeight="1" x14ac:dyDescent="0.2">
      <c r="B103" s="172"/>
      <c r="C103" s="96"/>
      <c r="D103" s="101"/>
      <c r="E103" s="90"/>
      <c r="F103" s="113"/>
      <c r="G103" s="114"/>
      <c r="H103" s="80"/>
      <c r="I103" s="12" t="s">
        <v>24</v>
      </c>
      <c r="J103" s="75">
        <v>1</v>
      </c>
      <c r="K103" s="91"/>
      <c r="L103" s="80"/>
      <c r="M103" s="88"/>
      <c r="N103" s="126"/>
      <c r="O103" s="129"/>
      <c r="P103" s="182"/>
      <c r="Q103" s="205"/>
      <c r="R103" s="63"/>
    </row>
    <row r="104" spans="2:18" ht="40.5" customHeight="1" x14ac:dyDescent="0.2">
      <c r="B104" s="172"/>
      <c r="C104" s="97"/>
      <c r="D104" s="102"/>
      <c r="E104" s="83"/>
      <c r="F104" s="115"/>
      <c r="G104" s="116"/>
      <c r="H104" s="81"/>
      <c r="I104" s="13" t="s">
        <v>26</v>
      </c>
      <c r="J104" s="6" t="str">
        <f>IF(AND(H102="Si"),(J102/J103),"NA")</f>
        <v>NA</v>
      </c>
      <c r="K104" s="91"/>
      <c r="L104" s="80"/>
      <c r="M104" s="88"/>
      <c r="N104" s="126"/>
      <c r="O104" s="129"/>
      <c r="P104" s="182"/>
      <c r="Q104" s="206"/>
      <c r="R104" s="63"/>
    </row>
    <row r="105" spans="2:18" ht="33" customHeight="1" x14ac:dyDescent="0.2">
      <c r="B105" s="172"/>
      <c r="C105" s="95" t="s">
        <v>137</v>
      </c>
      <c r="D105" s="95" t="s">
        <v>138</v>
      </c>
      <c r="E105" s="103" t="s">
        <v>139</v>
      </c>
      <c r="F105" s="171">
        <v>0</v>
      </c>
      <c r="G105" s="112"/>
      <c r="H105" s="79" t="s">
        <v>19</v>
      </c>
      <c r="I105" s="11" t="s">
        <v>20</v>
      </c>
      <c r="J105" s="74">
        <v>3</v>
      </c>
      <c r="K105" s="122">
        <f>IF((J107="NA"),"NA",((1-J107)*10))</f>
        <v>8.9285714285714288</v>
      </c>
      <c r="L105" s="80"/>
      <c r="M105" s="88"/>
      <c r="N105" s="126"/>
      <c r="O105" s="129"/>
      <c r="P105" s="182"/>
      <c r="Q105" s="201"/>
      <c r="R105" s="57"/>
    </row>
    <row r="106" spans="2:18" ht="33" customHeight="1" x14ac:dyDescent="0.2">
      <c r="B106" s="172"/>
      <c r="C106" s="96"/>
      <c r="D106" s="96"/>
      <c r="E106" s="90"/>
      <c r="F106" s="113"/>
      <c r="G106" s="114"/>
      <c r="H106" s="80"/>
      <c r="I106" s="12" t="s">
        <v>24</v>
      </c>
      <c r="J106" s="75">
        <v>28</v>
      </c>
      <c r="K106" s="122"/>
      <c r="L106" s="80"/>
      <c r="M106" s="88"/>
      <c r="N106" s="126"/>
      <c r="O106" s="129"/>
      <c r="P106" s="182"/>
      <c r="Q106" s="202"/>
    </row>
    <row r="107" spans="2:18" ht="33" customHeight="1" x14ac:dyDescent="0.2">
      <c r="B107" s="172"/>
      <c r="C107" s="97"/>
      <c r="D107" s="97"/>
      <c r="E107" s="83"/>
      <c r="F107" s="115"/>
      <c r="G107" s="116"/>
      <c r="H107" s="81"/>
      <c r="I107" s="13" t="s">
        <v>87</v>
      </c>
      <c r="J107" s="6">
        <f>IF(AND(H105="Si"),((J105/J106)),"NA")</f>
        <v>0.10714285714285714</v>
      </c>
      <c r="K107" s="122"/>
      <c r="L107" s="80"/>
      <c r="M107" s="88"/>
      <c r="N107" s="126"/>
      <c r="O107" s="129"/>
      <c r="P107" s="182"/>
      <c r="Q107" s="203"/>
    </row>
    <row r="108" spans="2:18" ht="33" customHeight="1" x14ac:dyDescent="0.2">
      <c r="B108" s="172"/>
      <c r="C108" s="100" t="s">
        <v>140</v>
      </c>
      <c r="D108" s="100" t="s">
        <v>141</v>
      </c>
      <c r="E108" s="103" t="s">
        <v>142</v>
      </c>
      <c r="F108" s="171">
        <v>1</v>
      </c>
      <c r="G108" s="112"/>
      <c r="H108" s="79" t="s">
        <v>29</v>
      </c>
      <c r="I108" s="11" t="s">
        <v>20</v>
      </c>
      <c r="J108" s="74"/>
      <c r="K108" s="91" t="str">
        <f>IF((J110="NA"),"NA",((J110/F108)*10))</f>
        <v>NA</v>
      </c>
      <c r="L108" s="80"/>
      <c r="M108" s="88"/>
      <c r="N108" s="126"/>
      <c r="O108" s="129"/>
      <c r="P108" s="182"/>
      <c r="Q108" s="192" t="s">
        <v>143</v>
      </c>
    </row>
    <row r="109" spans="2:18" ht="30.75" customHeight="1" x14ac:dyDescent="0.2">
      <c r="B109" s="172"/>
      <c r="C109" s="101"/>
      <c r="D109" s="101"/>
      <c r="E109" s="90"/>
      <c r="F109" s="113"/>
      <c r="G109" s="114"/>
      <c r="H109" s="80"/>
      <c r="I109" s="12" t="s">
        <v>24</v>
      </c>
      <c r="J109" s="75"/>
      <c r="K109" s="91"/>
      <c r="L109" s="80"/>
      <c r="M109" s="88"/>
      <c r="N109" s="126"/>
      <c r="O109" s="129"/>
      <c r="P109" s="182"/>
      <c r="Q109" s="193"/>
    </row>
    <row r="110" spans="2:18" ht="30.75" customHeight="1" x14ac:dyDescent="0.2">
      <c r="B110" s="172"/>
      <c r="C110" s="102"/>
      <c r="D110" s="102"/>
      <c r="E110" s="83"/>
      <c r="F110" s="115"/>
      <c r="G110" s="116"/>
      <c r="H110" s="81"/>
      <c r="I110" s="13" t="s">
        <v>26</v>
      </c>
      <c r="J110" s="6" t="str">
        <f>IF(AND(H108="Si"),(J108/J109),"NA")</f>
        <v>NA</v>
      </c>
      <c r="K110" s="91"/>
      <c r="L110" s="80"/>
      <c r="M110" s="88"/>
      <c r="N110" s="126"/>
      <c r="O110" s="129"/>
      <c r="P110" s="182"/>
      <c r="Q110" s="194"/>
    </row>
    <row r="111" spans="2:18" ht="32.25" customHeight="1" x14ac:dyDescent="0.2">
      <c r="B111" s="172"/>
      <c r="C111" s="100" t="s">
        <v>144</v>
      </c>
      <c r="D111" s="100" t="s">
        <v>145</v>
      </c>
      <c r="E111" s="161" t="s">
        <v>146</v>
      </c>
      <c r="F111" s="171">
        <v>1</v>
      </c>
      <c r="G111" s="112"/>
      <c r="H111" s="79" t="s">
        <v>29</v>
      </c>
      <c r="I111" s="11" t="s">
        <v>20</v>
      </c>
      <c r="J111" s="74">
        <v>5</v>
      </c>
      <c r="K111" s="91" t="str">
        <f>IF((J113="NA"),"NA",((J113/F111)*10))</f>
        <v>NA</v>
      </c>
      <c r="L111" s="80"/>
      <c r="M111" s="88"/>
      <c r="N111" s="126"/>
      <c r="O111" s="129"/>
      <c r="P111" s="182"/>
      <c r="Q111" s="207" t="s">
        <v>147</v>
      </c>
      <c r="R111" s="63"/>
    </row>
    <row r="112" spans="2:18" ht="34.5" customHeight="1" x14ac:dyDescent="0.2">
      <c r="B112" s="172"/>
      <c r="C112" s="101"/>
      <c r="D112" s="101"/>
      <c r="E112" s="162"/>
      <c r="F112" s="113"/>
      <c r="G112" s="114"/>
      <c r="H112" s="80"/>
      <c r="I112" s="12" t="s">
        <v>24</v>
      </c>
      <c r="J112" s="75">
        <v>5</v>
      </c>
      <c r="K112" s="91"/>
      <c r="L112" s="80"/>
      <c r="M112" s="88"/>
      <c r="N112" s="126"/>
      <c r="O112" s="129"/>
      <c r="P112" s="181"/>
      <c r="Q112" s="208"/>
      <c r="R112" s="63"/>
    </row>
    <row r="113" spans="2:18" ht="39" customHeight="1" x14ac:dyDescent="0.2">
      <c r="B113" s="172"/>
      <c r="C113" s="102"/>
      <c r="D113" s="102"/>
      <c r="E113" s="163"/>
      <c r="F113" s="115"/>
      <c r="G113" s="116"/>
      <c r="H113" s="81"/>
      <c r="I113" s="13" t="s">
        <v>26</v>
      </c>
      <c r="J113" s="6" t="str">
        <f>IF(AND(H111="Si"),(J111/J112),"NA")</f>
        <v>NA</v>
      </c>
      <c r="K113" s="91"/>
      <c r="L113" s="80"/>
      <c r="M113" s="88"/>
      <c r="N113" s="126"/>
      <c r="O113" s="129"/>
      <c r="P113" s="181"/>
      <c r="Q113" s="214"/>
      <c r="R113" s="63"/>
    </row>
    <row r="114" spans="2:18" ht="23.25" customHeight="1" x14ac:dyDescent="0.2">
      <c r="B114" s="172"/>
      <c r="C114" s="100" t="s">
        <v>148</v>
      </c>
      <c r="D114" s="100" t="s">
        <v>149</v>
      </c>
      <c r="E114" s="117" t="s">
        <v>150</v>
      </c>
      <c r="F114" s="173" t="s">
        <v>151</v>
      </c>
      <c r="G114" s="174"/>
      <c r="H114" s="82" t="s">
        <v>29</v>
      </c>
      <c r="I114" s="11" t="s">
        <v>20</v>
      </c>
      <c r="J114" s="74"/>
      <c r="K114" s="106" t="str">
        <f>IF((J115="NA"),"NA",IF(J115&gt;3,10,((J115/3)*10)))</f>
        <v>NA</v>
      </c>
      <c r="L114" s="80"/>
      <c r="M114" s="88"/>
      <c r="N114" s="126"/>
      <c r="O114" s="129"/>
      <c r="P114" s="182"/>
      <c r="Q114" s="207" t="s">
        <v>152</v>
      </c>
    </row>
    <row r="115" spans="2:18" ht="24.75" customHeight="1" x14ac:dyDescent="0.2">
      <c r="B115" s="172"/>
      <c r="C115" s="101"/>
      <c r="D115" s="101"/>
      <c r="E115" s="119"/>
      <c r="F115" s="175"/>
      <c r="G115" s="176"/>
      <c r="H115" s="83"/>
      <c r="I115" s="12" t="s">
        <v>26</v>
      </c>
      <c r="J115" s="27" t="str">
        <f>IF(H114="Si",(J114),"NA")</f>
        <v>NA</v>
      </c>
      <c r="K115" s="107"/>
      <c r="L115" s="81"/>
      <c r="M115" s="89"/>
      <c r="N115" s="127"/>
      <c r="O115" s="130"/>
      <c r="P115" s="182"/>
      <c r="Q115" s="208"/>
    </row>
    <row r="116" spans="2:18" ht="5.25" customHeight="1" x14ac:dyDescent="0.2">
      <c r="B116" s="92"/>
      <c r="C116" s="93"/>
      <c r="D116" s="93"/>
      <c r="E116" s="93"/>
      <c r="F116" s="93"/>
      <c r="G116" s="93"/>
      <c r="H116" s="93"/>
      <c r="I116" s="93"/>
      <c r="J116" s="93"/>
      <c r="K116" s="93"/>
      <c r="L116" s="93"/>
      <c r="M116" s="93"/>
      <c r="N116" s="93"/>
      <c r="O116" s="94"/>
      <c r="P116" s="183"/>
      <c r="Q116" s="73"/>
    </row>
    <row r="117" spans="2:18" ht="36" customHeight="1" x14ac:dyDescent="0.2">
      <c r="B117" s="172" t="s">
        <v>153</v>
      </c>
      <c r="C117" s="100" t="s">
        <v>154</v>
      </c>
      <c r="D117" s="100" t="s">
        <v>155</v>
      </c>
      <c r="E117" s="103" t="s">
        <v>156</v>
      </c>
      <c r="F117" s="171">
        <v>1</v>
      </c>
      <c r="G117" s="112"/>
      <c r="H117" s="79" t="s">
        <v>29</v>
      </c>
      <c r="I117" s="11" t="s">
        <v>20</v>
      </c>
      <c r="J117" s="74">
        <v>4</v>
      </c>
      <c r="K117" s="91" t="str">
        <f>IF((J119="NA"),"NA",((J119/F117)*10))</f>
        <v>NA</v>
      </c>
      <c r="L117" s="106">
        <f>IF(AND(H117="No",H120="No",H123="No"),0,AVERAGE(K117:K125))</f>
        <v>0</v>
      </c>
      <c r="M117" s="87" t="s">
        <v>21</v>
      </c>
      <c r="N117" s="125">
        <v>0.2</v>
      </c>
      <c r="O117" s="177">
        <f>L117*N117</f>
        <v>0</v>
      </c>
      <c r="P117" s="182"/>
      <c r="Q117" s="192" t="s">
        <v>157</v>
      </c>
      <c r="R117" s="57"/>
    </row>
    <row r="118" spans="2:18" ht="39" customHeight="1" x14ac:dyDescent="0.2">
      <c r="B118" s="172"/>
      <c r="C118" s="101"/>
      <c r="D118" s="101"/>
      <c r="E118" s="90"/>
      <c r="F118" s="113"/>
      <c r="G118" s="114"/>
      <c r="H118" s="80"/>
      <c r="I118" s="12" t="s">
        <v>24</v>
      </c>
      <c r="J118" s="75">
        <v>4</v>
      </c>
      <c r="K118" s="91"/>
      <c r="L118" s="80"/>
      <c r="M118" s="88"/>
      <c r="N118" s="126"/>
      <c r="O118" s="178"/>
      <c r="P118" s="182"/>
      <c r="Q118" s="193"/>
      <c r="R118" s="57"/>
    </row>
    <row r="119" spans="2:18" ht="38.25" customHeight="1" x14ac:dyDescent="0.2">
      <c r="B119" s="172"/>
      <c r="C119" s="102"/>
      <c r="D119" s="102"/>
      <c r="E119" s="83"/>
      <c r="F119" s="115"/>
      <c r="G119" s="116"/>
      <c r="H119" s="81"/>
      <c r="I119" s="13" t="s">
        <v>26</v>
      </c>
      <c r="J119" s="6" t="str">
        <f>IF(AND(H117="Si"),(J117/J118),"NA")</f>
        <v>NA</v>
      </c>
      <c r="K119" s="91"/>
      <c r="L119" s="80"/>
      <c r="M119" s="88"/>
      <c r="N119" s="126"/>
      <c r="O119" s="178"/>
      <c r="P119" s="182"/>
      <c r="Q119" s="194"/>
    </row>
    <row r="120" spans="2:18" ht="30.75" customHeight="1" x14ac:dyDescent="0.2">
      <c r="B120" s="172"/>
      <c r="C120" s="100" t="s">
        <v>158</v>
      </c>
      <c r="D120" s="100" t="s">
        <v>159</v>
      </c>
      <c r="E120" s="103" t="s">
        <v>160</v>
      </c>
      <c r="F120" s="171">
        <v>1</v>
      </c>
      <c r="G120" s="112"/>
      <c r="H120" s="79" t="s">
        <v>29</v>
      </c>
      <c r="I120" s="11" t="s">
        <v>20</v>
      </c>
      <c r="J120" s="74">
        <v>4</v>
      </c>
      <c r="K120" s="91" t="str">
        <f>IF((J122="NA"),"NA",((J122/F120)*10))</f>
        <v>NA</v>
      </c>
      <c r="L120" s="80"/>
      <c r="M120" s="88"/>
      <c r="N120" s="126"/>
      <c r="O120" s="178"/>
      <c r="P120" s="182"/>
      <c r="Q120" s="192" t="s">
        <v>161</v>
      </c>
      <c r="R120" s="63"/>
    </row>
    <row r="121" spans="2:18" ht="32.25" customHeight="1" x14ac:dyDescent="0.2">
      <c r="B121" s="172"/>
      <c r="C121" s="101"/>
      <c r="D121" s="101"/>
      <c r="E121" s="90"/>
      <c r="F121" s="113"/>
      <c r="G121" s="114"/>
      <c r="H121" s="80"/>
      <c r="I121" s="12" t="s">
        <v>24</v>
      </c>
      <c r="J121" s="75">
        <v>4</v>
      </c>
      <c r="K121" s="91"/>
      <c r="L121" s="80"/>
      <c r="M121" s="88"/>
      <c r="N121" s="126"/>
      <c r="O121" s="178"/>
      <c r="P121" s="182"/>
      <c r="Q121" s="193"/>
      <c r="R121" s="63"/>
    </row>
    <row r="122" spans="2:18" ht="36.75" customHeight="1" x14ac:dyDescent="0.2">
      <c r="B122" s="172"/>
      <c r="C122" s="101"/>
      <c r="D122" s="102"/>
      <c r="E122" s="83"/>
      <c r="F122" s="115"/>
      <c r="G122" s="116"/>
      <c r="H122" s="81"/>
      <c r="I122" s="13" t="s">
        <v>26</v>
      </c>
      <c r="J122" s="6" t="str">
        <f>IF(AND(H120="Si"),(J120/J121),"NA")</f>
        <v>NA</v>
      </c>
      <c r="K122" s="91"/>
      <c r="L122" s="80"/>
      <c r="M122" s="88"/>
      <c r="N122" s="126"/>
      <c r="O122" s="178"/>
      <c r="P122" s="182"/>
      <c r="Q122" s="194"/>
      <c r="R122" s="63"/>
    </row>
    <row r="123" spans="2:18" ht="34.5" customHeight="1" x14ac:dyDescent="0.2">
      <c r="B123" s="172"/>
      <c r="C123" s="101"/>
      <c r="D123" s="100" t="s">
        <v>162</v>
      </c>
      <c r="E123" s="103" t="s">
        <v>163</v>
      </c>
      <c r="F123" s="171">
        <v>1</v>
      </c>
      <c r="G123" s="112"/>
      <c r="H123" s="79" t="s">
        <v>29</v>
      </c>
      <c r="I123" s="11" t="s">
        <v>20</v>
      </c>
      <c r="J123" s="74"/>
      <c r="K123" s="91" t="str">
        <f>IF((J125="NA"),"NA",((J125/F123)*10))</f>
        <v>NA</v>
      </c>
      <c r="L123" s="80"/>
      <c r="M123" s="88"/>
      <c r="N123" s="126"/>
      <c r="O123" s="178"/>
      <c r="P123" s="182"/>
      <c r="Q123" s="192" t="s">
        <v>164</v>
      </c>
    </row>
    <row r="124" spans="2:18" ht="30" customHeight="1" x14ac:dyDescent="0.2">
      <c r="B124" s="172"/>
      <c r="C124" s="101"/>
      <c r="D124" s="101"/>
      <c r="E124" s="90"/>
      <c r="F124" s="113"/>
      <c r="G124" s="114"/>
      <c r="H124" s="80"/>
      <c r="I124" s="12" t="s">
        <v>24</v>
      </c>
      <c r="J124" s="75"/>
      <c r="K124" s="91"/>
      <c r="L124" s="80"/>
      <c r="M124" s="88"/>
      <c r="N124" s="126"/>
      <c r="O124" s="178"/>
      <c r="P124" s="182"/>
      <c r="Q124" s="193"/>
    </row>
    <row r="125" spans="2:18" ht="44.25" customHeight="1" x14ac:dyDescent="0.2">
      <c r="B125" s="172"/>
      <c r="C125" s="102"/>
      <c r="D125" s="102"/>
      <c r="E125" s="83"/>
      <c r="F125" s="115"/>
      <c r="G125" s="116"/>
      <c r="H125" s="81"/>
      <c r="I125" s="13" t="s">
        <v>26</v>
      </c>
      <c r="J125" s="6" t="str">
        <f>IF(AND(H123="Si"),(J123/J124),"NA")</f>
        <v>NA</v>
      </c>
      <c r="K125" s="91"/>
      <c r="L125" s="81"/>
      <c r="M125" s="89"/>
      <c r="N125" s="127"/>
      <c r="O125" s="179"/>
      <c r="P125" s="182"/>
      <c r="Q125" s="194"/>
    </row>
    <row r="126" spans="2:18" ht="5.25" customHeight="1" x14ac:dyDescent="0.2">
      <c r="B126" s="92"/>
      <c r="C126" s="93"/>
      <c r="D126" s="93"/>
      <c r="E126" s="93"/>
      <c r="F126" s="93"/>
      <c r="G126" s="93"/>
      <c r="H126" s="93"/>
      <c r="I126" s="93"/>
      <c r="J126" s="93"/>
      <c r="K126" s="93"/>
      <c r="L126" s="93"/>
      <c r="M126" s="93"/>
      <c r="N126" s="93"/>
      <c r="O126" s="94"/>
      <c r="P126" s="183"/>
      <c r="Q126" s="72"/>
      <c r="R126" s="67"/>
    </row>
    <row r="127" spans="2:18" ht="30" customHeight="1" x14ac:dyDescent="0.2">
      <c r="B127" s="172" t="s">
        <v>165</v>
      </c>
      <c r="C127" s="100" t="s">
        <v>166</v>
      </c>
      <c r="D127" s="100" t="s">
        <v>167</v>
      </c>
      <c r="E127" s="103" t="s">
        <v>168</v>
      </c>
      <c r="F127" s="171">
        <v>1</v>
      </c>
      <c r="G127" s="112"/>
      <c r="H127" s="79" t="s">
        <v>29</v>
      </c>
      <c r="I127" s="11" t="s">
        <v>20</v>
      </c>
      <c r="J127" s="74">
        <v>21</v>
      </c>
      <c r="K127" s="91" t="str">
        <f>IF((J129="NA"),"NA",((J129/F127)*10))</f>
        <v>NA</v>
      </c>
      <c r="L127" s="88">
        <f>IF(AND(H127="No",H130="No",H133="No",H136="No",H139="No",H142="No"),0,AVERAGE(K127:K144))</f>
        <v>0</v>
      </c>
      <c r="M127" s="82" t="s">
        <v>40</v>
      </c>
      <c r="N127" s="126">
        <v>0.12</v>
      </c>
      <c r="O127" s="128">
        <f>L127*N127</f>
        <v>0</v>
      </c>
      <c r="P127" s="182"/>
      <c r="Q127" s="201" t="s">
        <v>169</v>
      </c>
      <c r="R127" s="57"/>
    </row>
    <row r="128" spans="2:18" ht="36" customHeight="1" x14ac:dyDescent="0.2">
      <c r="B128" s="172"/>
      <c r="C128" s="101"/>
      <c r="D128" s="101"/>
      <c r="E128" s="90"/>
      <c r="F128" s="113"/>
      <c r="G128" s="114"/>
      <c r="H128" s="80"/>
      <c r="I128" s="12" t="s">
        <v>24</v>
      </c>
      <c r="J128" s="75">
        <v>21</v>
      </c>
      <c r="K128" s="91"/>
      <c r="L128" s="90"/>
      <c r="M128" s="90"/>
      <c r="N128" s="126"/>
      <c r="O128" s="129"/>
      <c r="P128" s="182"/>
      <c r="Q128" s="202"/>
    </row>
    <row r="129" spans="2:18" ht="37.5" customHeight="1" x14ac:dyDescent="0.2">
      <c r="B129" s="172"/>
      <c r="C129" s="101"/>
      <c r="D129" s="102"/>
      <c r="E129" s="83"/>
      <c r="F129" s="115"/>
      <c r="G129" s="116"/>
      <c r="H129" s="81"/>
      <c r="I129" s="13" t="s">
        <v>26</v>
      </c>
      <c r="J129" s="6" t="str">
        <f>IF(AND(H127="Si"),(J127/J128),"NA")</f>
        <v>NA</v>
      </c>
      <c r="K129" s="91"/>
      <c r="L129" s="90"/>
      <c r="M129" s="90"/>
      <c r="N129" s="126"/>
      <c r="O129" s="129"/>
      <c r="P129" s="182"/>
      <c r="Q129" s="218"/>
    </row>
    <row r="130" spans="2:18" ht="37.5" customHeight="1" x14ac:dyDescent="0.2">
      <c r="B130" s="172"/>
      <c r="C130" s="101"/>
      <c r="D130" s="100" t="s">
        <v>170</v>
      </c>
      <c r="E130" s="103" t="s">
        <v>171</v>
      </c>
      <c r="F130" s="171">
        <v>1</v>
      </c>
      <c r="G130" s="112"/>
      <c r="H130" s="79" t="s">
        <v>29</v>
      </c>
      <c r="I130" s="11" t="s">
        <v>20</v>
      </c>
      <c r="J130" s="74"/>
      <c r="K130" s="91" t="str">
        <f>IF((J132="NA"),"NA",((J132/F130)*10))</f>
        <v>NA</v>
      </c>
      <c r="L130" s="90"/>
      <c r="M130" s="90"/>
      <c r="N130" s="126"/>
      <c r="O130" s="129"/>
      <c r="P130" s="181"/>
      <c r="Q130" s="219" t="s">
        <v>172</v>
      </c>
      <c r="R130" s="63"/>
    </row>
    <row r="131" spans="2:18" ht="37.5" customHeight="1" x14ac:dyDescent="0.2">
      <c r="B131" s="172"/>
      <c r="C131" s="101"/>
      <c r="D131" s="101"/>
      <c r="E131" s="90"/>
      <c r="F131" s="113"/>
      <c r="G131" s="114"/>
      <c r="H131" s="80"/>
      <c r="I131" s="12" t="s">
        <v>24</v>
      </c>
      <c r="J131" s="75"/>
      <c r="K131" s="91"/>
      <c r="L131" s="90"/>
      <c r="M131" s="90"/>
      <c r="N131" s="126"/>
      <c r="O131" s="129"/>
      <c r="P131" s="181"/>
      <c r="Q131" s="220"/>
      <c r="R131" s="63"/>
    </row>
    <row r="132" spans="2:18" ht="37.5" customHeight="1" x14ac:dyDescent="0.2">
      <c r="B132" s="172"/>
      <c r="C132" s="102"/>
      <c r="D132" s="102"/>
      <c r="E132" s="83"/>
      <c r="F132" s="115"/>
      <c r="G132" s="116"/>
      <c r="H132" s="81"/>
      <c r="I132" s="13" t="s">
        <v>26</v>
      </c>
      <c r="J132" s="6" t="str">
        <f>IF(AND(H130="Si"),(J130/J131),"NA")</f>
        <v>NA</v>
      </c>
      <c r="K132" s="91"/>
      <c r="L132" s="90"/>
      <c r="M132" s="90"/>
      <c r="N132" s="126"/>
      <c r="O132" s="129"/>
      <c r="P132" s="181"/>
      <c r="Q132" s="221"/>
      <c r="R132" s="63"/>
    </row>
    <row r="133" spans="2:18" ht="27" customHeight="1" x14ac:dyDescent="0.2">
      <c r="B133" s="172"/>
      <c r="C133" s="101" t="s">
        <v>173</v>
      </c>
      <c r="D133" s="100" t="s">
        <v>174</v>
      </c>
      <c r="E133" s="109" t="s">
        <v>175</v>
      </c>
      <c r="F133" s="171">
        <v>0</v>
      </c>
      <c r="G133" s="112"/>
      <c r="H133" s="79" t="s">
        <v>29</v>
      </c>
      <c r="I133" s="11" t="s">
        <v>20</v>
      </c>
      <c r="J133" s="74"/>
      <c r="K133" s="122" t="str">
        <f>IF((J135="NA"),"NA",((1-J135)*10))</f>
        <v>NA</v>
      </c>
      <c r="L133" s="90"/>
      <c r="M133" s="90"/>
      <c r="N133" s="126"/>
      <c r="O133" s="129"/>
      <c r="P133" s="182"/>
      <c r="Q133" s="201" t="s">
        <v>176</v>
      </c>
      <c r="R133" s="57"/>
    </row>
    <row r="134" spans="2:18" ht="26.25" customHeight="1" x14ac:dyDescent="0.2">
      <c r="B134" s="172"/>
      <c r="C134" s="101"/>
      <c r="D134" s="101"/>
      <c r="E134" s="109"/>
      <c r="F134" s="113"/>
      <c r="G134" s="114"/>
      <c r="H134" s="80"/>
      <c r="I134" s="12" t="s">
        <v>24</v>
      </c>
      <c r="J134" s="75"/>
      <c r="K134" s="122"/>
      <c r="L134" s="90"/>
      <c r="M134" s="90"/>
      <c r="N134" s="126"/>
      <c r="O134" s="129"/>
      <c r="P134" s="182"/>
      <c r="Q134" s="202"/>
      <c r="R134" s="57"/>
    </row>
    <row r="135" spans="2:18" ht="26.25" customHeight="1" x14ac:dyDescent="0.2">
      <c r="B135" s="172"/>
      <c r="C135" s="101"/>
      <c r="D135" s="102"/>
      <c r="E135" s="110"/>
      <c r="F135" s="115"/>
      <c r="G135" s="116"/>
      <c r="H135" s="81"/>
      <c r="I135" s="13" t="s">
        <v>87</v>
      </c>
      <c r="J135" s="6" t="str">
        <f>IF(AND(H133="Si"),((J133/J134)),"NA")</f>
        <v>NA</v>
      </c>
      <c r="K135" s="122"/>
      <c r="L135" s="90"/>
      <c r="M135" s="90"/>
      <c r="N135" s="126"/>
      <c r="O135" s="129"/>
      <c r="P135" s="182"/>
      <c r="Q135" s="203"/>
      <c r="R135" s="57"/>
    </row>
    <row r="136" spans="2:18" ht="27.75" customHeight="1" x14ac:dyDescent="0.2">
      <c r="B136" s="172"/>
      <c r="C136" s="101"/>
      <c r="D136" s="100" t="s">
        <v>177</v>
      </c>
      <c r="E136" s="103" t="s">
        <v>178</v>
      </c>
      <c r="F136" s="104" t="s">
        <v>179</v>
      </c>
      <c r="G136" s="105"/>
      <c r="H136" s="79" t="s">
        <v>29</v>
      </c>
      <c r="I136" s="11" t="s">
        <v>20</v>
      </c>
      <c r="J136" s="76">
        <v>3</v>
      </c>
      <c r="K136" s="106" t="str">
        <f>IF((J138="NA"),"NA",IF(J136&gt;=1,10,((J136*10))))</f>
        <v>NA</v>
      </c>
      <c r="L136" s="90"/>
      <c r="M136" s="90"/>
      <c r="N136" s="126"/>
      <c r="O136" s="129"/>
      <c r="P136" s="182"/>
      <c r="Q136" s="201" t="s">
        <v>180</v>
      </c>
      <c r="R136" s="57"/>
    </row>
    <row r="137" spans="2:18" ht="27.75" customHeight="1" x14ac:dyDescent="0.2">
      <c r="B137" s="172"/>
      <c r="C137" s="101"/>
      <c r="D137" s="101"/>
      <c r="E137" s="109"/>
      <c r="F137" s="105"/>
      <c r="G137" s="105"/>
      <c r="H137" s="80"/>
      <c r="I137" s="12" t="s">
        <v>35</v>
      </c>
      <c r="J137" s="29" t="str">
        <f>IF(H136="Si",60,"")</f>
        <v/>
      </c>
      <c r="K137" s="107"/>
      <c r="L137" s="90"/>
      <c r="M137" s="90"/>
      <c r="N137" s="126"/>
      <c r="O137" s="129"/>
      <c r="P137" s="182"/>
      <c r="Q137" s="202"/>
      <c r="R137" s="57"/>
    </row>
    <row r="138" spans="2:18" ht="30.75" customHeight="1" x14ac:dyDescent="0.2">
      <c r="B138" s="172"/>
      <c r="C138" s="101"/>
      <c r="D138" s="102"/>
      <c r="E138" s="110"/>
      <c r="F138" s="105"/>
      <c r="G138" s="105"/>
      <c r="H138" s="81"/>
      <c r="I138" s="13" t="s">
        <v>26</v>
      </c>
      <c r="J138" s="7" t="str">
        <f>IF(H136="Si",(J136&amp;"/"&amp;J137&amp;"min"),"NA")</f>
        <v>NA</v>
      </c>
      <c r="K138" s="108"/>
      <c r="L138" s="90"/>
      <c r="M138" s="90"/>
      <c r="N138" s="126"/>
      <c r="O138" s="129"/>
      <c r="P138" s="182"/>
      <c r="Q138" s="203"/>
    </row>
    <row r="139" spans="2:18" ht="34.5" customHeight="1" x14ac:dyDescent="0.2">
      <c r="B139" s="172"/>
      <c r="C139" s="101"/>
      <c r="D139" s="100" t="s">
        <v>181</v>
      </c>
      <c r="E139" s="103" t="s">
        <v>182</v>
      </c>
      <c r="F139" s="171">
        <v>0</v>
      </c>
      <c r="G139" s="112"/>
      <c r="H139" s="79" t="s">
        <v>29</v>
      </c>
      <c r="I139" s="11" t="s">
        <v>20</v>
      </c>
      <c r="J139" s="74"/>
      <c r="K139" s="122" t="str">
        <f>IF((J141="NA"),"NA",((1-J141)*10))</f>
        <v>NA</v>
      </c>
      <c r="L139" s="90"/>
      <c r="M139" s="90"/>
      <c r="N139" s="126"/>
      <c r="O139" s="129"/>
      <c r="P139" s="182"/>
      <c r="Q139" s="201" t="s">
        <v>183</v>
      </c>
    </row>
    <row r="140" spans="2:18" ht="34.5" customHeight="1" x14ac:dyDescent="0.2">
      <c r="B140" s="172"/>
      <c r="C140" s="101"/>
      <c r="D140" s="101"/>
      <c r="E140" s="109"/>
      <c r="F140" s="113"/>
      <c r="G140" s="114"/>
      <c r="H140" s="80"/>
      <c r="I140" s="12" t="s">
        <v>24</v>
      </c>
      <c r="J140" s="75"/>
      <c r="K140" s="122"/>
      <c r="L140" s="90"/>
      <c r="M140" s="90"/>
      <c r="N140" s="126"/>
      <c r="O140" s="129"/>
      <c r="P140" s="182"/>
      <c r="Q140" s="202"/>
    </row>
    <row r="141" spans="2:18" ht="35.25" customHeight="1" x14ac:dyDescent="0.2">
      <c r="B141" s="172"/>
      <c r="C141" s="102"/>
      <c r="D141" s="102"/>
      <c r="E141" s="110"/>
      <c r="F141" s="115"/>
      <c r="G141" s="116"/>
      <c r="H141" s="81"/>
      <c r="I141" s="13" t="s">
        <v>87</v>
      </c>
      <c r="J141" s="6" t="str">
        <f>IF(AND(H139="Si"),((J139/J140)),"NA")</f>
        <v>NA</v>
      </c>
      <c r="K141" s="122"/>
      <c r="L141" s="90"/>
      <c r="M141" s="90"/>
      <c r="N141" s="126"/>
      <c r="O141" s="129"/>
      <c r="P141" s="182"/>
      <c r="Q141" s="203"/>
    </row>
    <row r="142" spans="2:18" ht="40.5" customHeight="1" x14ac:dyDescent="0.2">
      <c r="B142" s="172"/>
      <c r="C142" s="146" t="s">
        <v>184</v>
      </c>
      <c r="D142" s="100" t="s">
        <v>185</v>
      </c>
      <c r="E142" s="103" t="s">
        <v>186</v>
      </c>
      <c r="F142" s="171">
        <v>1</v>
      </c>
      <c r="G142" s="112"/>
      <c r="H142" s="79" t="s">
        <v>29</v>
      </c>
      <c r="I142" s="11" t="s">
        <v>20</v>
      </c>
      <c r="J142" s="74"/>
      <c r="K142" s="91" t="str">
        <f>IF((J144="NA"),"NA",((J144/F142)*10))</f>
        <v>NA</v>
      </c>
      <c r="L142" s="90"/>
      <c r="M142" s="90"/>
      <c r="N142" s="126"/>
      <c r="O142" s="129"/>
      <c r="P142" s="182"/>
      <c r="Q142" s="201" t="s">
        <v>187</v>
      </c>
    </row>
    <row r="143" spans="2:18" ht="36" customHeight="1" x14ac:dyDescent="0.2">
      <c r="B143" s="172"/>
      <c r="C143" s="146"/>
      <c r="D143" s="101"/>
      <c r="E143" s="90"/>
      <c r="F143" s="113"/>
      <c r="G143" s="114"/>
      <c r="H143" s="80"/>
      <c r="I143" s="12" t="s">
        <v>24</v>
      </c>
      <c r="J143" s="75"/>
      <c r="K143" s="91"/>
      <c r="L143" s="90"/>
      <c r="M143" s="90"/>
      <c r="N143" s="126"/>
      <c r="O143" s="129"/>
      <c r="P143" s="182"/>
      <c r="Q143" s="202"/>
    </row>
    <row r="144" spans="2:18" ht="39" customHeight="1" x14ac:dyDescent="0.2">
      <c r="B144" s="172"/>
      <c r="C144" s="146"/>
      <c r="D144" s="102"/>
      <c r="E144" s="83"/>
      <c r="F144" s="115"/>
      <c r="G144" s="116"/>
      <c r="H144" s="81"/>
      <c r="I144" s="13" t="s">
        <v>26</v>
      </c>
      <c r="J144" s="6" t="str">
        <f>IF(AND(H142="Si"),(J142/J143),"NA")</f>
        <v>NA</v>
      </c>
      <c r="K144" s="91"/>
      <c r="L144" s="83"/>
      <c r="M144" s="83"/>
      <c r="N144" s="127"/>
      <c r="O144" s="130"/>
      <c r="P144" s="182"/>
      <c r="Q144" s="203"/>
    </row>
    <row r="145" spans="1:18" ht="5.25" customHeight="1" x14ac:dyDescent="0.2">
      <c r="B145" s="92"/>
      <c r="C145" s="93"/>
      <c r="D145" s="93"/>
      <c r="E145" s="93"/>
      <c r="F145" s="93"/>
      <c r="G145" s="93"/>
      <c r="H145" s="93"/>
      <c r="I145" s="93"/>
      <c r="J145" s="93"/>
      <c r="K145" s="93"/>
      <c r="L145" s="93"/>
      <c r="M145" s="93"/>
      <c r="N145" s="93"/>
      <c r="O145" s="94"/>
      <c r="P145" s="183"/>
      <c r="Q145" s="72"/>
    </row>
    <row r="146" spans="1:18" ht="40.5" customHeight="1" x14ac:dyDescent="0.2">
      <c r="A146" s="18"/>
      <c r="B146" s="158" t="s">
        <v>188</v>
      </c>
      <c r="C146" s="151" t="s">
        <v>189</v>
      </c>
      <c r="D146" s="100" t="s">
        <v>190</v>
      </c>
      <c r="E146" s="103" t="s">
        <v>191</v>
      </c>
      <c r="F146" s="171">
        <v>0</v>
      </c>
      <c r="G146" s="112"/>
      <c r="H146" s="79" t="s">
        <v>29</v>
      </c>
      <c r="I146" s="11" t="s">
        <v>20</v>
      </c>
      <c r="J146" s="74"/>
      <c r="K146" s="122" t="str">
        <f>IF((J148="NA"),"NA",((1-J148)*10))</f>
        <v>NA</v>
      </c>
      <c r="L146" s="106">
        <f>IF(AND(H146="No",H149="No",H152="No",H155="No",H158="No",H161="No",H164="No",H167="No"),0,AVERAGE(K146:K169))</f>
        <v>8.5</v>
      </c>
      <c r="M146" s="87" t="s">
        <v>192</v>
      </c>
      <c r="N146" s="125">
        <v>0</v>
      </c>
      <c r="O146" s="128">
        <f>L146*N146</f>
        <v>0</v>
      </c>
      <c r="P146" s="182"/>
      <c r="Q146" s="192" t="s">
        <v>193</v>
      </c>
    </row>
    <row r="147" spans="1:18" ht="42" customHeight="1" x14ac:dyDescent="0.2">
      <c r="A147" s="18"/>
      <c r="B147" s="159"/>
      <c r="C147" s="152"/>
      <c r="D147" s="101"/>
      <c r="E147" s="90"/>
      <c r="F147" s="113"/>
      <c r="G147" s="114"/>
      <c r="H147" s="80"/>
      <c r="I147" s="12" t="s">
        <v>24</v>
      </c>
      <c r="J147" s="75"/>
      <c r="K147" s="122"/>
      <c r="L147" s="107"/>
      <c r="M147" s="88"/>
      <c r="N147" s="126"/>
      <c r="O147" s="129"/>
      <c r="P147" s="182"/>
      <c r="Q147" s="193"/>
    </row>
    <row r="148" spans="1:18" ht="34.5" customHeight="1" x14ac:dyDescent="0.2">
      <c r="A148" s="18"/>
      <c r="B148" s="159"/>
      <c r="C148" s="152"/>
      <c r="D148" s="102"/>
      <c r="E148" s="83"/>
      <c r="F148" s="115"/>
      <c r="G148" s="116"/>
      <c r="H148" s="81"/>
      <c r="I148" s="13" t="s">
        <v>87</v>
      </c>
      <c r="J148" s="6" t="str">
        <f>IF(AND(H146="Si"),((J146/J147)),"NA")</f>
        <v>NA</v>
      </c>
      <c r="K148" s="122"/>
      <c r="L148" s="107"/>
      <c r="M148" s="88"/>
      <c r="N148" s="126"/>
      <c r="O148" s="129"/>
      <c r="P148" s="182"/>
      <c r="Q148" s="194"/>
    </row>
    <row r="149" spans="1:18" ht="39.75" customHeight="1" x14ac:dyDescent="0.2">
      <c r="A149" s="18"/>
      <c r="B149" s="159"/>
      <c r="C149" s="152"/>
      <c r="D149" s="100" t="s">
        <v>194</v>
      </c>
      <c r="E149" s="103" t="s">
        <v>195</v>
      </c>
      <c r="F149" s="171">
        <v>0</v>
      </c>
      <c r="G149" s="112"/>
      <c r="H149" s="79" t="s">
        <v>29</v>
      </c>
      <c r="I149" s="11" t="s">
        <v>20</v>
      </c>
      <c r="J149" s="74"/>
      <c r="K149" s="122" t="str">
        <f>IF((J151="NA"),"NA",((1-J151)*10))</f>
        <v>NA</v>
      </c>
      <c r="L149" s="107"/>
      <c r="M149" s="88"/>
      <c r="N149" s="126"/>
      <c r="O149" s="129"/>
      <c r="P149" s="182"/>
      <c r="Q149" s="192" t="s">
        <v>196</v>
      </c>
    </row>
    <row r="150" spans="1:18" ht="39" customHeight="1" x14ac:dyDescent="0.2">
      <c r="A150" s="18"/>
      <c r="B150" s="159"/>
      <c r="C150" s="152"/>
      <c r="D150" s="101"/>
      <c r="E150" s="90"/>
      <c r="F150" s="113"/>
      <c r="G150" s="114"/>
      <c r="H150" s="80"/>
      <c r="I150" s="12" t="s">
        <v>24</v>
      </c>
      <c r="J150" s="75"/>
      <c r="K150" s="122"/>
      <c r="L150" s="107"/>
      <c r="M150" s="88"/>
      <c r="N150" s="126"/>
      <c r="O150" s="129"/>
      <c r="P150" s="182"/>
      <c r="Q150" s="193"/>
    </row>
    <row r="151" spans="1:18" ht="39" customHeight="1" x14ac:dyDescent="0.2">
      <c r="A151" s="18"/>
      <c r="B151" s="159"/>
      <c r="C151" s="152"/>
      <c r="D151" s="102"/>
      <c r="E151" s="83"/>
      <c r="F151" s="115"/>
      <c r="G151" s="116"/>
      <c r="H151" s="81"/>
      <c r="I151" s="13" t="s">
        <v>87</v>
      </c>
      <c r="J151" s="6" t="str">
        <f>IF(AND(H149="Si"),((J149/J150)),"NA")</f>
        <v>NA</v>
      </c>
      <c r="K151" s="122"/>
      <c r="L151" s="107"/>
      <c r="M151" s="88"/>
      <c r="N151" s="126"/>
      <c r="O151" s="129"/>
      <c r="P151" s="182"/>
      <c r="Q151" s="194"/>
    </row>
    <row r="152" spans="1:18" ht="45.75" customHeight="1" x14ac:dyDescent="0.2">
      <c r="A152" s="18"/>
      <c r="B152" s="159"/>
      <c r="C152" s="152"/>
      <c r="D152" s="100" t="s">
        <v>197</v>
      </c>
      <c r="E152" s="103" t="s">
        <v>198</v>
      </c>
      <c r="F152" s="171">
        <v>0</v>
      </c>
      <c r="G152" s="112"/>
      <c r="H152" s="79" t="s">
        <v>29</v>
      </c>
      <c r="I152" s="11" t="s">
        <v>20</v>
      </c>
      <c r="J152" s="74"/>
      <c r="K152" s="122" t="str">
        <f>IF((J154="NA"),"NA",((1-J154)*10))</f>
        <v>NA</v>
      </c>
      <c r="L152" s="107"/>
      <c r="M152" s="88"/>
      <c r="N152" s="126"/>
      <c r="O152" s="129"/>
      <c r="P152" s="182"/>
      <c r="Q152" s="192" t="s">
        <v>199</v>
      </c>
    </row>
    <row r="153" spans="1:18" ht="42" customHeight="1" x14ac:dyDescent="0.2">
      <c r="A153" s="18"/>
      <c r="B153" s="159"/>
      <c r="C153" s="152"/>
      <c r="D153" s="101"/>
      <c r="E153" s="90"/>
      <c r="F153" s="113"/>
      <c r="G153" s="114"/>
      <c r="H153" s="80"/>
      <c r="I153" s="12" t="s">
        <v>24</v>
      </c>
      <c r="J153" s="75"/>
      <c r="K153" s="122"/>
      <c r="L153" s="107"/>
      <c r="M153" s="88"/>
      <c r="N153" s="126"/>
      <c r="O153" s="129"/>
      <c r="P153" s="182"/>
      <c r="Q153" s="193"/>
    </row>
    <row r="154" spans="1:18" ht="48" customHeight="1" x14ac:dyDescent="0.2">
      <c r="A154" s="18"/>
      <c r="B154" s="159"/>
      <c r="C154" s="153"/>
      <c r="D154" s="102"/>
      <c r="E154" s="83"/>
      <c r="F154" s="115"/>
      <c r="G154" s="116"/>
      <c r="H154" s="81"/>
      <c r="I154" s="13" t="s">
        <v>87</v>
      </c>
      <c r="J154" s="6" t="str">
        <f>IF(AND(H152="Si"),((J152/J153)),"NA")</f>
        <v>NA</v>
      </c>
      <c r="K154" s="122"/>
      <c r="L154" s="107"/>
      <c r="M154" s="88"/>
      <c r="N154" s="126"/>
      <c r="O154" s="129"/>
      <c r="P154" s="182"/>
      <c r="Q154" s="194"/>
    </row>
    <row r="155" spans="1:18" ht="38.25" customHeight="1" x14ac:dyDescent="0.2">
      <c r="A155" s="18"/>
      <c r="B155" s="159"/>
      <c r="C155" s="123" t="s">
        <v>200</v>
      </c>
      <c r="D155" s="95" t="s">
        <v>201</v>
      </c>
      <c r="E155" s="117" t="s">
        <v>202</v>
      </c>
      <c r="F155" s="111" t="s">
        <v>55</v>
      </c>
      <c r="G155" s="112"/>
      <c r="H155" s="79" t="s">
        <v>19</v>
      </c>
      <c r="I155" s="11" t="s">
        <v>20</v>
      </c>
      <c r="J155" s="74">
        <v>3</v>
      </c>
      <c r="K155" s="106">
        <f>IF((J157="NA"),"NA",IF(J155&gt;10,0,(((1-(J155/10))*10))))</f>
        <v>7</v>
      </c>
      <c r="L155" s="107"/>
      <c r="M155" s="88"/>
      <c r="N155" s="126"/>
      <c r="O155" s="129"/>
      <c r="P155" s="182"/>
      <c r="Q155" s="204"/>
      <c r="R155" s="63"/>
    </row>
    <row r="156" spans="1:18" ht="38.25" customHeight="1" x14ac:dyDescent="0.2">
      <c r="A156" s="18"/>
      <c r="B156" s="159"/>
      <c r="C156" s="157"/>
      <c r="D156" s="96"/>
      <c r="E156" s="118"/>
      <c r="F156" s="113"/>
      <c r="G156" s="114"/>
      <c r="H156" s="80"/>
      <c r="I156" s="12" t="s">
        <v>35</v>
      </c>
      <c r="J156" s="75">
        <v>1</v>
      </c>
      <c r="K156" s="107"/>
      <c r="L156" s="107"/>
      <c r="M156" s="88"/>
      <c r="N156" s="126"/>
      <c r="O156" s="129"/>
      <c r="P156" s="182"/>
      <c r="Q156" s="205"/>
      <c r="R156" s="63"/>
    </row>
    <row r="157" spans="1:18" ht="38.25" customHeight="1" x14ac:dyDescent="0.2">
      <c r="A157" s="18"/>
      <c r="B157" s="159"/>
      <c r="C157" s="157"/>
      <c r="D157" s="97"/>
      <c r="E157" s="119"/>
      <c r="F157" s="115"/>
      <c r="G157" s="116"/>
      <c r="H157" s="81"/>
      <c r="I157" s="13" t="s">
        <v>48</v>
      </c>
      <c r="J157" s="7" t="str">
        <f>IF(AND(H155="Si"),(J155&amp;"/"&amp;J156&amp;"min"),"NA")</f>
        <v>3/1min</v>
      </c>
      <c r="K157" s="108"/>
      <c r="L157" s="107"/>
      <c r="M157" s="88"/>
      <c r="N157" s="126"/>
      <c r="O157" s="129"/>
      <c r="P157" s="182"/>
      <c r="Q157" s="206"/>
      <c r="R157" s="63"/>
    </row>
    <row r="158" spans="1:18" ht="48" customHeight="1" x14ac:dyDescent="0.2">
      <c r="A158" s="18"/>
      <c r="B158" s="159"/>
      <c r="C158" s="157"/>
      <c r="D158" s="95" t="s">
        <v>203</v>
      </c>
      <c r="E158" s="103" t="s">
        <v>204</v>
      </c>
      <c r="F158" s="111">
        <v>1</v>
      </c>
      <c r="G158" s="112"/>
      <c r="H158" s="79" t="s">
        <v>19</v>
      </c>
      <c r="I158" s="11" t="s">
        <v>20</v>
      </c>
      <c r="J158" s="74">
        <v>1</v>
      </c>
      <c r="K158" s="91">
        <f>IF((J160="NA"),"NA",((J160/F158)*10))</f>
        <v>10</v>
      </c>
      <c r="L158" s="107"/>
      <c r="M158" s="88"/>
      <c r="N158" s="126"/>
      <c r="O158" s="129"/>
      <c r="P158" s="182"/>
      <c r="Q158" s="201"/>
    </row>
    <row r="159" spans="1:18" ht="46.5" customHeight="1" x14ac:dyDescent="0.2">
      <c r="A159" s="18"/>
      <c r="B159" s="159"/>
      <c r="C159" s="157"/>
      <c r="D159" s="96"/>
      <c r="E159" s="109"/>
      <c r="F159" s="113"/>
      <c r="G159" s="114"/>
      <c r="H159" s="80"/>
      <c r="I159" s="12" t="s">
        <v>24</v>
      </c>
      <c r="J159" s="75">
        <v>1</v>
      </c>
      <c r="K159" s="91"/>
      <c r="L159" s="107"/>
      <c r="M159" s="88"/>
      <c r="N159" s="126"/>
      <c r="O159" s="129"/>
      <c r="P159" s="182"/>
      <c r="Q159" s="202"/>
    </row>
    <row r="160" spans="1:18" ht="51.75" customHeight="1" x14ac:dyDescent="0.2">
      <c r="A160" s="18"/>
      <c r="B160" s="159"/>
      <c r="C160" s="124"/>
      <c r="D160" s="97"/>
      <c r="E160" s="110"/>
      <c r="F160" s="115"/>
      <c r="G160" s="116"/>
      <c r="H160" s="81"/>
      <c r="I160" s="13" t="s">
        <v>26</v>
      </c>
      <c r="J160" s="6">
        <f>IF(AND(H158="Si"),(J158/J159),"NA")</f>
        <v>1</v>
      </c>
      <c r="K160" s="91"/>
      <c r="L160" s="107"/>
      <c r="M160" s="88"/>
      <c r="N160" s="126"/>
      <c r="O160" s="129"/>
      <c r="P160" s="182"/>
      <c r="Q160" s="203"/>
    </row>
    <row r="161" spans="1:18" ht="27.75" customHeight="1" x14ac:dyDescent="0.2">
      <c r="A161" s="18"/>
      <c r="B161" s="159"/>
      <c r="C161" s="151" t="s">
        <v>205</v>
      </c>
      <c r="D161" s="100" t="s">
        <v>206</v>
      </c>
      <c r="E161" s="103" t="s">
        <v>207</v>
      </c>
      <c r="F161" s="111">
        <v>0</v>
      </c>
      <c r="G161" s="112"/>
      <c r="H161" s="79" t="s">
        <v>29</v>
      </c>
      <c r="I161" s="11" t="s">
        <v>20</v>
      </c>
      <c r="J161" s="74"/>
      <c r="K161" s="122" t="str">
        <f>IF((J163="NA"),"NA",((1-J163)*10))</f>
        <v>NA</v>
      </c>
      <c r="L161" s="107"/>
      <c r="M161" s="88"/>
      <c r="N161" s="126"/>
      <c r="O161" s="129"/>
      <c r="P161" s="182"/>
      <c r="Q161" s="201" t="s">
        <v>208</v>
      </c>
    </row>
    <row r="162" spans="1:18" ht="30" customHeight="1" x14ac:dyDescent="0.2">
      <c r="A162" s="18"/>
      <c r="B162" s="159"/>
      <c r="C162" s="152"/>
      <c r="D162" s="101"/>
      <c r="E162" s="109"/>
      <c r="F162" s="113"/>
      <c r="G162" s="114"/>
      <c r="H162" s="80"/>
      <c r="I162" s="12" t="s">
        <v>24</v>
      </c>
      <c r="J162" s="75"/>
      <c r="K162" s="122"/>
      <c r="L162" s="107"/>
      <c r="M162" s="88"/>
      <c r="N162" s="126"/>
      <c r="O162" s="129"/>
      <c r="P162" s="182"/>
      <c r="Q162" s="202"/>
      <c r="R162" s="57"/>
    </row>
    <row r="163" spans="1:18" ht="36" customHeight="1" x14ac:dyDescent="0.2">
      <c r="A163" s="18"/>
      <c r="B163" s="159"/>
      <c r="C163" s="152"/>
      <c r="D163" s="102"/>
      <c r="E163" s="110"/>
      <c r="F163" s="115"/>
      <c r="G163" s="116"/>
      <c r="H163" s="81"/>
      <c r="I163" s="13" t="s">
        <v>87</v>
      </c>
      <c r="J163" s="6" t="str">
        <f>IF(AND(H161="Si"),((J161/J162)),"NA")</f>
        <v>NA</v>
      </c>
      <c r="K163" s="122"/>
      <c r="L163" s="107"/>
      <c r="M163" s="88"/>
      <c r="N163" s="126"/>
      <c r="O163" s="129"/>
      <c r="P163" s="182"/>
      <c r="Q163" s="203"/>
    </row>
    <row r="164" spans="1:18" ht="54" customHeight="1" x14ac:dyDescent="0.2">
      <c r="A164" s="18"/>
      <c r="B164" s="159"/>
      <c r="C164" s="152"/>
      <c r="D164" s="100" t="s">
        <v>209</v>
      </c>
      <c r="E164" s="103" t="s">
        <v>210</v>
      </c>
      <c r="F164" s="111">
        <v>1</v>
      </c>
      <c r="G164" s="112"/>
      <c r="H164" s="79" t="s">
        <v>29</v>
      </c>
      <c r="I164" s="11" t="s">
        <v>20</v>
      </c>
      <c r="J164" s="74"/>
      <c r="K164" s="91" t="str">
        <f>IF((J166="NA"),"NA",((J166/F164)*10))</f>
        <v>NA</v>
      </c>
      <c r="L164" s="107"/>
      <c r="M164" s="88"/>
      <c r="N164" s="126"/>
      <c r="O164" s="129"/>
      <c r="P164" s="182"/>
      <c r="Q164" s="204" t="s">
        <v>211</v>
      </c>
      <c r="R164" s="63"/>
    </row>
    <row r="165" spans="1:18" ht="51" customHeight="1" x14ac:dyDescent="0.2">
      <c r="A165" s="18"/>
      <c r="B165" s="159"/>
      <c r="C165" s="152"/>
      <c r="D165" s="101"/>
      <c r="E165" s="109"/>
      <c r="F165" s="113"/>
      <c r="G165" s="114"/>
      <c r="H165" s="80"/>
      <c r="I165" s="12" t="s">
        <v>24</v>
      </c>
      <c r="J165" s="75"/>
      <c r="K165" s="91"/>
      <c r="L165" s="107"/>
      <c r="M165" s="88"/>
      <c r="N165" s="126"/>
      <c r="O165" s="129"/>
      <c r="P165" s="182"/>
      <c r="Q165" s="205"/>
      <c r="R165" s="63"/>
    </row>
    <row r="166" spans="1:18" ht="51" customHeight="1" x14ac:dyDescent="0.2">
      <c r="A166" s="18"/>
      <c r="B166" s="159"/>
      <c r="C166" s="152"/>
      <c r="D166" s="102"/>
      <c r="E166" s="110"/>
      <c r="F166" s="115"/>
      <c r="G166" s="116"/>
      <c r="H166" s="81"/>
      <c r="I166" s="13" t="s">
        <v>26</v>
      </c>
      <c r="J166" s="6" t="str">
        <f>IF(AND(H164="Si"),(J164/J165),"NA")</f>
        <v>NA</v>
      </c>
      <c r="K166" s="91"/>
      <c r="L166" s="107"/>
      <c r="M166" s="88"/>
      <c r="N166" s="126"/>
      <c r="O166" s="129"/>
      <c r="P166" s="182"/>
      <c r="Q166" s="206"/>
      <c r="R166" s="63"/>
    </row>
    <row r="167" spans="1:18" ht="41.25" customHeight="1" x14ac:dyDescent="0.2">
      <c r="B167" s="159"/>
      <c r="C167" s="152"/>
      <c r="D167" s="100" t="s">
        <v>212</v>
      </c>
      <c r="E167" s="103" t="s">
        <v>213</v>
      </c>
      <c r="F167" s="111">
        <v>1</v>
      </c>
      <c r="G167" s="112"/>
      <c r="H167" s="79" t="s">
        <v>29</v>
      </c>
      <c r="I167" s="11" t="s">
        <v>20</v>
      </c>
      <c r="J167" s="74"/>
      <c r="K167" s="91" t="str">
        <f>IF((J169="NA"),"NA",((J169/F167)*10))</f>
        <v>NA</v>
      </c>
      <c r="L167" s="107"/>
      <c r="M167" s="88"/>
      <c r="N167" s="126"/>
      <c r="O167" s="129"/>
      <c r="P167" s="182"/>
      <c r="Q167" s="201" t="s">
        <v>211</v>
      </c>
    </row>
    <row r="168" spans="1:18" ht="38.25" customHeight="1" x14ac:dyDescent="0.2">
      <c r="B168" s="159"/>
      <c r="C168" s="152"/>
      <c r="D168" s="101"/>
      <c r="E168" s="109"/>
      <c r="F168" s="113"/>
      <c r="G168" s="114"/>
      <c r="H168" s="80"/>
      <c r="I168" s="12" t="s">
        <v>24</v>
      </c>
      <c r="J168" s="75"/>
      <c r="K168" s="91"/>
      <c r="L168" s="107"/>
      <c r="M168" s="88"/>
      <c r="N168" s="126"/>
      <c r="O168" s="129"/>
      <c r="P168" s="182"/>
      <c r="Q168" s="212"/>
    </row>
    <row r="169" spans="1:18" ht="40.5" customHeight="1" x14ac:dyDescent="0.2">
      <c r="B169" s="160"/>
      <c r="C169" s="153"/>
      <c r="D169" s="102"/>
      <c r="E169" s="110"/>
      <c r="F169" s="115"/>
      <c r="G169" s="116"/>
      <c r="H169" s="81"/>
      <c r="I169" s="13" t="s">
        <v>26</v>
      </c>
      <c r="J169" s="6" t="str">
        <f>IF(AND(H167="Si"),(J167/J168),"NA")</f>
        <v>NA</v>
      </c>
      <c r="K169" s="91"/>
      <c r="L169" s="108"/>
      <c r="M169" s="89"/>
      <c r="N169" s="127"/>
      <c r="O169" s="130"/>
      <c r="P169" s="184"/>
      <c r="Q169" s="213"/>
    </row>
    <row r="170" spans="1:18" x14ac:dyDescent="0.2">
      <c r="N170" s="31">
        <f>SUM(N7:N169)</f>
        <v>1</v>
      </c>
      <c r="P170" s="57"/>
    </row>
  </sheetData>
  <mergeCells count="397">
    <mergeCell ref="Q152:Q154"/>
    <mergeCell ref="Q155:Q157"/>
    <mergeCell ref="Q158:Q160"/>
    <mergeCell ref="Q161:Q163"/>
    <mergeCell ref="Q164:Q166"/>
    <mergeCell ref="Q167:Q169"/>
    <mergeCell ref="Q20:Q22"/>
    <mergeCell ref="Q111:Q113"/>
    <mergeCell ref="Q95:Q97"/>
    <mergeCell ref="Q123:Q125"/>
    <mergeCell ref="Q127:Q129"/>
    <mergeCell ref="Q130:Q132"/>
    <mergeCell ref="Q133:Q135"/>
    <mergeCell ref="Q136:Q138"/>
    <mergeCell ref="Q139:Q141"/>
    <mergeCell ref="Q142:Q144"/>
    <mergeCell ref="Q146:Q148"/>
    <mergeCell ref="Q149:Q151"/>
    <mergeCell ref="Q89:Q91"/>
    <mergeCell ref="Q92:Q94"/>
    <mergeCell ref="Q99:Q101"/>
    <mergeCell ref="Q102:Q104"/>
    <mergeCell ref="Q105:Q107"/>
    <mergeCell ref="Q108:Q110"/>
    <mergeCell ref="Q114:Q115"/>
    <mergeCell ref="Q117:Q119"/>
    <mergeCell ref="Q120:Q122"/>
    <mergeCell ref="Q64:Q66"/>
    <mergeCell ref="Q68:Q70"/>
    <mergeCell ref="Q71:Q73"/>
    <mergeCell ref="Q74:Q76"/>
    <mergeCell ref="Q77:Q79"/>
    <mergeCell ref="Q80:Q82"/>
    <mergeCell ref="Q83:Q85"/>
    <mergeCell ref="Q86:Q88"/>
    <mergeCell ref="Q38:Q40"/>
    <mergeCell ref="Q42:Q44"/>
    <mergeCell ref="Q45:Q47"/>
    <mergeCell ref="Q48:Q50"/>
    <mergeCell ref="Q51:Q52"/>
    <mergeCell ref="Q53:Q54"/>
    <mergeCell ref="Q55:Q57"/>
    <mergeCell ref="Q58:Q60"/>
    <mergeCell ref="Q61:Q63"/>
    <mergeCell ref="Q7:Q9"/>
    <mergeCell ref="Q10:Q12"/>
    <mergeCell ref="Q13:Q15"/>
    <mergeCell ref="Q17:Q19"/>
    <mergeCell ref="Q23:Q25"/>
    <mergeCell ref="Q26:Q28"/>
    <mergeCell ref="Q29:Q31"/>
    <mergeCell ref="Q32:Q34"/>
    <mergeCell ref="Q35:Q37"/>
    <mergeCell ref="P7:P169"/>
    <mergeCell ref="B2:P3"/>
    <mergeCell ref="D161:D163"/>
    <mergeCell ref="E161:E163"/>
    <mergeCell ref="F161:G163"/>
    <mergeCell ref="K161:K163"/>
    <mergeCell ref="B145:O145"/>
    <mergeCell ref="C146:C154"/>
    <mergeCell ref="D146:D148"/>
    <mergeCell ref="E146:E148"/>
    <mergeCell ref="F146:G148"/>
    <mergeCell ref="K146:K148"/>
    <mergeCell ref="D149:D151"/>
    <mergeCell ref="E149:E151"/>
    <mergeCell ref="F149:G151"/>
    <mergeCell ref="K149:K151"/>
    <mergeCell ref="D152:D154"/>
    <mergeCell ref="E152:E154"/>
    <mergeCell ref="K158:K160"/>
    <mergeCell ref="D136:D138"/>
    <mergeCell ref="E136:E138"/>
    <mergeCell ref="F136:G138"/>
    <mergeCell ref="C142:C144"/>
    <mergeCell ref="D142:D144"/>
    <mergeCell ref="E142:E144"/>
    <mergeCell ref="F142:G144"/>
    <mergeCell ref="K142:K144"/>
    <mergeCell ref="F152:G154"/>
    <mergeCell ref="K152:K154"/>
    <mergeCell ref="B126:O126"/>
    <mergeCell ref="B127:B144"/>
    <mergeCell ref="L127:L144"/>
    <mergeCell ref="N127:N144"/>
    <mergeCell ref="O127:O144"/>
    <mergeCell ref="C127:C132"/>
    <mergeCell ref="D127:D129"/>
    <mergeCell ref="E127:E129"/>
    <mergeCell ref="F127:G129"/>
    <mergeCell ref="K127:K129"/>
    <mergeCell ref="D130:D132"/>
    <mergeCell ref="E130:E132"/>
    <mergeCell ref="F130:G132"/>
    <mergeCell ref="K130:K132"/>
    <mergeCell ref="K136:K138"/>
    <mergeCell ref="D139:D141"/>
    <mergeCell ref="E139:E141"/>
    <mergeCell ref="F139:G141"/>
    <mergeCell ref="K139:K141"/>
    <mergeCell ref="C133:C141"/>
    <mergeCell ref="D133:D135"/>
    <mergeCell ref="E133:E135"/>
    <mergeCell ref="F133:G135"/>
    <mergeCell ref="K133:K135"/>
    <mergeCell ref="B116:O116"/>
    <mergeCell ref="B117:B125"/>
    <mergeCell ref="C117:C119"/>
    <mergeCell ref="D117:D119"/>
    <mergeCell ref="E117:E119"/>
    <mergeCell ref="F117:G119"/>
    <mergeCell ref="K117:K119"/>
    <mergeCell ref="L117:L125"/>
    <mergeCell ref="N117:N125"/>
    <mergeCell ref="O117:O125"/>
    <mergeCell ref="C120:C125"/>
    <mergeCell ref="D120:D122"/>
    <mergeCell ref="E120:E122"/>
    <mergeCell ref="F120:G122"/>
    <mergeCell ref="K120:K122"/>
    <mergeCell ref="D123:D125"/>
    <mergeCell ref="E123:E125"/>
    <mergeCell ref="F123:G125"/>
    <mergeCell ref="K123:K125"/>
    <mergeCell ref="C114:C115"/>
    <mergeCell ref="D114:D115"/>
    <mergeCell ref="E114:E115"/>
    <mergeCell ref="F114:G115"/>
    <mergeCell ref="K114:K115"/>
    <mergeCell ref="C111:C113"/>
    <mergeCell ref="D111:D113"/>
    <mergeCell ref="E111:E113"/>
    <mergeCell ref="F111:G113"/>
    <mergeCell ref="K111:K113"/>
    <mergeCell ref="E105:E107"/>
    <mergeCell ref="F105:G107"/>
    <mergeCell ref="K105:K107"/>
    <mergeCell ref="C108:C110"/>
    <mergeCell ref="D108:D110"/>
    <mergeCell ref="E108:E110"/>
    <mergeCell ref="F108:G110"/>
    <mergeCell ref="K108:K110"/>
    <mergeCell ref="B98:O98"/>
    <mergeCell ref="B99:B115"/>
    <mergeCell ref="C99:C104"/>
    <mergeCell ref="D99:D101"/>
    <mergeCell ref="E99:E101"/>
    <mergeCell ref="F99:G101"/>
    <mergeCell ref="K99:K101"/>
    <mergeCell ref="L99:L115"/>
    <mergeCell ref="N99:N115"/>
    <mergeCell ref="O99:O115"/>
    <mergeCell ref="D102:D104"/>
    <mergeCell ref="E102:E104"/>
    <mergeCell ref="F102:G104"/>
    <mergeCell ref="K102:K104"/>
    <mergeCell ref="C105:C107"/>
    <mergeCell ref="D105:D107"/>
    <mergeCell ref="C95:C97"/>
    <mergeCell ref="D95:D97"/>
    <mergeCell ref="E95:E97"/>
    <mergeCell ref="F95:G97"/>
    <mergeCell ref="K95:K97"/>
    <mergeCell ref="C92:C94"/>
    <mergeCell ref="D92:D94"/>
    <mergeCell ref="E92:E94"/>
    <mergeCell ref="F92:G94"/>
    <mergeCell ref="K92:K94"/>
    <mergeCell ref="H95:H97"/>
    <mergeCell ref="K83:K85"/>
    <mergeCell ref="C86:C91"/>
    <mergeCell ref="D86:D88"/>
    <mergeCell ref="E86:E88"/>
    <mergeCell ref="F86:G88"/>
    <mergeCell ref="K86:K88"/>
    <mergeCell ref="D89:D91"/>
    <mergeCell ref="E89:E91"/>
    <mergeCell ref="F89:G91"/>
    <mergeCell ref="K89:K91"/>
    <mergeCell ref="C77:C85"/>
    <mergeCell ref="D77:D79"/>
    <mergeCell ref="E77:E79"/>
    <mergeCell ref="F77:G79"/>
    <mergeCell ref="K77:K79"/>
    <mergeCell ref="D80:D82"/>
    <mergeCell ref="E80:E82"/>
    <mergeCell ref="F80:G82"/>
    <mergeCell ref="K80:K82"/>
    <mergeCell ref="D83:D85"/>
    <mergeCell ref="E48:E50"/>
    <mergeCell ref="F61:G63"/>
    <mergeCell ref="K61:K63"/>
    <mergeCell ref="B67:O67"/>
    <mergeCell ref="B68:B97"/>
    <mergeCell ref="C68:C73"/>
    <mergeCell ref="D68:D70"/>
    <mergeCell ref="E68:E70"/>
    <mergeCell ref="F68:G70"/>
    <mergeCell ref="K68:K70"/>
    <mergeCell ref="L68:L97"/>
    <mergeCell ref="N68:N97"/>
    <mergeCell ref="O68:O97"/>
    <mergeCell ref="D71:D73"/>
    <mergeCell ref="E71:E73"/>
    <mergeCell ref="F71:G73"/>
    <mergeCell ref="K71:K73"/>
    <mergeCell ref="C74:C76"/>
    <mergeCell ref="E83:E85"/>
    <mergeCell ref="F83:G85"/>
    <mergeCell ref="D74:D76"/>
    <mergeCell ref="E74:E76"/>
    <mergeCell ref="F74:G76"/>
    <mergeCell ref="K74:K76"/>
    <mergeCell ref="O17:O40"/>
    <mergeCell ref="D20:D22"/>
    <mergeCell ref="E20:E22"/>
    <mergeCell ref="F20:G22"/>
    <mergeCell ref="K20:K22"/>
    <mergeCell ref="D23:D25"/>
    <mergeCell ref="E23:E25"/>
    <mergeCell ref="F23:G25"/>
    <mergeCell ref="L17:L40"/>
    <mergeCell ref="N17:N40"/>
    <mergeCell ref="H17:H19"/>
    <mergeCell ref="H20:H22"/>
    <mergeCell ref="H23:H25"/>
    <mergeCell ref="H26:H28"/>
    <mergeCell ref="H29:H31"/>
    <mergeCell ref="H32:H34"/>
    <mergeCell ref="H35:H37"/>
    <mergeCell ref="H38:H40"/>
    <mergeCell ref="F6:G6"/>
    <mergeCell ref="I6:J6"/>
    <mergeCell ref="B7:B15"/>
    <mergeCell ref="C7:C9"/>
    <mergeCell ref="D7:D9"/>
    <mergeCell ref="E7:E9"/>
    <mergeCell ref="F7:G9"/>
    <mergeCell ref="C10:C15"/>
    <mergeCell ref="D10:D12"/>
    <mergeCell ref="E10:E12"/>
    <mergeCell ref="F10:G12"/>
    <mergeCell ref="D13:D15"/>
    <mergeCell ref="E13:E15"/>
    <mergeCell ref="F13:G15"/>
    <mergeCell ref="H7:H9"/>
    <mergeCell ref="H10:H12"/>
    <mergeCell ref="H13:H15"/>
    <mergeCell ref="C161:C169"/>
    <mergeCell ref="F164:G166"/>
    <mergeCell ref="K164:K166"/>
    <mergeCell ref="B42:B66"/>
    <mergeCell ref="C58:C66"/>
    <mergeCell ref="C155:C160"/>
    <mergeCell ref="B146:B169"/>
    <mergeCell ref="E55:E57"/>
    <mergeCell ref="F55:G57"/>
    <mergeCell ref="K55:K57"/>
    <mergeCell ref="F48:G50"/>
    <mergeCell ref="K48:K50"/>
    <mergeCell ref="D58:D60"/>
    <mergeCell ref="E58:E60"/>
    <mergeCell ref="F58:G60"/>
    <mergeCell ref="K58:K60"/>
    <mergeCell ref="D61:D63"/>
    <mergeCell ref="E61:E63"/>
    <mergeCell ref="D64:D66"/>
    <mergeCell ref="E64:E66"/>
    <mergeCell ref="F64:G66"/>
    <mergeCell ref="K64:K66"/>
    <mergeCell ref="C51:C57"/>
    <mergeCell ref="D51:D52"/>
    <mergeCell ref="N7:N15"/>
    <mergeCell ref="O7:O15"/>
    <mergeCell ref="K10:K12"/>
    <mergeCell ref="K13:K15"/>
    <mergeCell ref="B16:O16"/>
    <mergeCell ref="B17:B40"/>
    <mergeCell ref="C17:C25"/>
    <mergeCell ref="D17:D19"/>
    <mergeCell ref="E17:E19"/>
    <mergeCell ref="F17:G19"/>
    <mergeCell ref="K17:K19"/>
    <mergeCell ref="K7:K9"/>
    <mergeCell ref="F38:G40"/>
    <mergeCell ref="K38:K40"/>
    <mergeCell ref="C38:C40"/>
    <mergeCell ref="D26:D28"/>
    <mergeCell ref="E26:E28"/>
    <mergeCell ref="F26:G28"/>
    <mergeCell ref="K26:K28"/>
    <mergeCell ref="D29:D31"/>
    <mergeCell ref="E29:E31"/>
    <mergeCell ref="F29:G31"/>
    <mergeCell ref="K23:K25"/>
    <mergeCell ref="D35:D37"/>
    <mergeCell ref="F51:G52"/>
    <mergeCell ref="K51:K52"/>
    <mergeCell ref="D53:D54"/>
    <mergeCell ref="E53:E54"/>
    <mergeCell ref="F53:G54"/>
    <mergeCell ref="N146:N169"/>
    <mergeCell ref="O146:O169"/>
    <mergeCell ref="L42:L66"/>
    <mergeCell ref="N42:N66"/>
    <mergeCell ref="O42:O66"/>
    <mergeCell ref="E164:E166"/>
    <mergeCell ref="D164:D166"/>
    <mergeCell ref="E51:E52"/>
    <mergeCell ref="K53:K54"/>
    <mergeCell ref="D55:D57"/>
    <mergeCell ref="D42:D44"/>
    <mergeCell ref="E42:E44"/>
    <mergeCell ref="F42:G44"/>
    <mergeCell ref="K42:K44"/>
    <mergeCell ref="D45:D47"/>
    <mergeCell ref="E45:E47"/>
    <mergeCell ref="F45:G47"/>
    <mergeCell ref="K45:K47"/>
    <mergeCell ref="D48:D50"/>
    <mergeCell ref="E167:E169"/>
    <mergeCell ref="F167:G169"/>
    <mergeCell ref="K167:K169"/>
    <mergeCell ref="L146:L169"/>
    <mergeCell ref="D158:D160"/>
    <mergeCell ref="E158:E160"/>
    <mergeCell ref="F158:G160"/>
    <mergeCell ref="D155:D157"/>
    <mergeCell ref="E155:E157"/>
    <mergeCell ref="F155:G157"/>
    <mergeCell ref="K155:K157"/>
    <mergeCell ref="H155:H157"/>
    <mergeCell ref="H158:H160"/>
    <mergeCell ref="H161:H163"/>
    <mergeCell ref="H164:H166"/>
    <mergeCell ref="H167:H169"/>
    <mergeCell ref="M7:M15"/>
    <mergeCell ref="M17:M40"/>
    <mergeCell ref="M42:M66"/>
    <mergeCell ref="M68:M97"/>
    <mergeCell ref="M99:M115"/>
    <mergeCell ref="M117:M125"/>
    <mergeCell ref="M127:M144"/>
    <mergeCell ref="M146:M169"/>
    <mergeCell ref="L7:L15"/>
    <mergeCell ref="B41:O41"/>
    <mergeCell ref="C42:C50"/>
    <mergeCell ref="E35:E37"/>
    <mergeCell ref="F35:G37"/>
    <mergeCell ref="K35:K37"/>
    <mergeCell ref="D38:D40"/>
    <mergeCell ref="E38:E40"/>
    <mergeCell ref="C26:C31"/>
    <mergeCell ref="C32:C37"/>
    <mergeCell ref="D32:D34"/>
    <mergeCell ref="E32:E34"/>
    <mergeCell ref="F32:G34"/>
    <mergeCell ref="K32:K34"/>
    <mergeCell ref="K29:K31"/>
    <mergeCell ref="D167:D169"/>
    <mergeCell ref="H42:H44"/>
    <mergeCell ref="H45:H47"/>
    <mergeCell ref="H48:H50"/>
    <mergeCell ref="H51:H52"/>
    <mergeCell ref="H53:H54"/>
    <mergeCell ref="H55:H57"/>
    <mergeCell ref="H58:H60"/>
    <mergeCell ref="H61:H63"/>
    <mergeCell ref="H64:H66"/>
    <mergeCell ref="H68:H70"/>
    <mergeCell ref="H71:H73"/>
    <mergeCell ref="H74:H76"/>
    <mergeCell ref="H77:H79"/>
    <mergeCell ref="H80:H82"/>
    <mergeCell ref="H83:H85"/>
    <mergeCell ref="H86:H88"/>
    <mergeCell ref="H89:H91"/>
    <mergeCell ref="H92:H94"/>
    <mergeCell ref="H99:H101"/>
    <mergeCell ref="H102:H104"/>
    <mergeCell ref="H105:H107"/>
    <mergeCell ref="H108:H110"/>
    <mergeCell ref="H111:H113"/>
    <mergeCell ref="H114:H115"/>
    <mergeCell ref="H117:H119"/>
    <mergeCell ref="H120:H122"/>
    <mergeCell ref="H123:H125"/>
    <mergeCell ref="H127:H129"/>
    <mergeCell ref="H130:H132"/>
    <mergeCell ref="H133:H135"/>
    <mergeCell ref="H136:H138"/>
    <mergeCell ref="H139:H141"/>
    <mergeCell ref="H142:H144"/>
    <mergeCell ref="H146:H148"/>
    <mergeCell ref="H149:H151"/>
    <mergeCell ref="H152:H154"/>
  </mergeCells>
  <conditionalFormatting sqref="N7:N15 N17:N40 N42:N66 N68:N97 N99:N115 N117:N125 N127:N144 N146:N169">
    <cfRule type="expression" dxfId="2" priority="1">
      <formula>$N$170&lt;&gt;100%</formula>
    </cfRule>
  </conditionalFormatting>
  <dataValidations count="21">
    <dataValidation type="whole" operator="greaterThan" allowBlank="1" showInputMessage="1" showErrorMessage="1" errorTitle="Error en la métrica" error="El valor ingresado en la variable T debe ser mayor a cero" sqref="J137 J65 J62 J49 J59" xr:uid="{00000000-0002-0000-0100-000000000000}">
      <formula1>0</formula1>
    </dataValidation>
    <dataValidation type="whole" operator="equal" allowBlank="1" showInputMessage="1" showErrorMessage="1" errorTitle="Error en la métrica" error="El valor ingresado en la variable T debe ser 1." sqref="J39 J156 J30" xr:uid="{00000000-0002-0000-0100-000001000000}">
      <formula1>1</formula1>
    </dataValidation>
    <dataValidation type="custom" allowBlank="1" showInputMessage="1" showErrorMessage="1" errorTitle="Error en la métrica" error="El valor ingresado en la variable B debe ser:_x000a_1. Mayor a cero._x000a_2. Mayor o igual a la variable A" sqref="J159 J162 J11 J18 J21 J27 J33 J36 J168 J72 J75 J78 J81 J84 J87 J90 J93 J96 J100 J103 J106 J109 J112 J118 J121 J124 J128 J131 J134 J140 J143 J147 J150 J153 J165 J8 J69" xr:uid="{00000000-0002-0000-0100-000002000000}">
      <formula1>AND(J8&gt;0,J8&gt;=J7)</formula1>
    </dataValidation>
    <dataValidation type="whole" operator="lessThanOrEqual" allowBlank="1" showInputMessage="1" showErrorMessage="1" errorTitle="Error en la métrica" error="El valor ingresado en la variable A debe ser menor o igual a la variable B" sqref="J105 J161 J7 J133 J152 J149 J146 J80 J139" xr:uid="{00000000-0002-0000-0100-000003000000}">
      <formula1>J8</formula1>
    </dataValidation>
    <dataValidation type="whole" operator="lessThan" allowBlank="1" showInputMessage="1" showErrorMessage="1" errorTitle="Error en la métrica" error="El valor ingresado en la variable A debe ser menor al valor ingresado en la variable B._x000a__x000a_" sqref="J42" xr:uid="{00000000-0002-0000-0100-000004000000}">
      <formula1>J43</formula1>
    </dataValidation>
    <dataValidation type="whole" operator="greaterThanOrEqual" allowBlank="1" showInputMessage="1" showErrorMessage="1" errorTitle="Error en la métrica" error="El valor ingresado en la variable B debe ser mayor o igual a la variable A" sqref="J43 J46" xr:uid="{00000000-0002-0000-0100-000005000000}">
      <formula1>J42</formula1>
    </dataValidation>
    <dataValidation type="list" allowBlank="1" showInputMessage="1" showErrorMessage="1" errorTitle="Error en Nivel de Importancia" error="No se debe ingresar valores que no están en la lista." sqref="M146:M169 M127:M144 M117:M125" xr:uid="{00000000-0002-0000-0100-000006000000}">
      <formula1>importancia2</formula1>
    </dataValidation>
    <dataValidation type="list" allowBlank="1" showInputMessage="1" showErrorMessage="1" errorTitle="Error en Nivel de Importancia" error="Error en Nivel de Importancia_x000a_No se debe ingresar valores que no están en la lista." sqref="M99:M115" xr:uid="{00000000-0002-0000-0100-000007000000}">
      <formula1>importancia2</formula1>
    </dataValidation>
    <dataValidation type="whole" operator="equal" allowBlank="1" showInputMessage="1" showErrorMessage="1" errorTitle="Error en la métrica" error="El valor ingresado en la variable T debe ser 15." sqref="J14" xr:uid="{00000000-0002-0000-0100-000008000000}">
      <formula1>15</formula1>
    </dataValidation>
    <dataValidation type="list" allowBlank="1" showInputMessage="1" showErrorMessage="1" errorTitle="Error" error="No se debe ingresar valores que no están en la lista." sqref="H7:H15 H17:H40 H68:H97 H99:H115 H117:H125 H127:H144 H146:H169 H42:H66" xr:uid="{00000000-0002-0000-0100-000009000000}">
      <formula1>aplica2</formula1>
    </dataValidation>
    <dataValidation type="whole" operator="lessThanOrEqual" showInputMessage="1" showErrorMessage="1" errorTitle="Error en la métrica" error="El valor ingresado en la variable A debe ser menor o igual a la variable B" sqref="J10 J17 J20 J26 J32 J35 J68 J71 J74 J77 J83 J86 J89 J92 J95 J99 J102 J108 J111 J117 J120 J123 J127 J130 J142 J158 J164 J167" xr:uid="{00000000-0002-0000-0100-00000A000000}">
      <formula1>J11</formula1>
    </dataValidation>
    <dataValidation type="list" allowBlank="1" showInputMessage="1" showErrorMessage="1" errorTitle="Error en Nivel de Importancia" error="No se debe ingresar valores que no están en la lista." sqref="M7:M15 M17:M40 M42:M66" xr:uid="{00000000-0002-0000-0100-00000B000000}">
      <formula1>importancia</formula1>
    </dataValidation>
    <dataValidation type="list" allowBlank="1" showInputMessage="1" showErrorMessage="1" errorTitle="Error en Nivel de Importancia" error="Error en Nivel de Importancia_x000a_No se debe ingresar valores que no están en la lista." sqref="M68:M97" xr:uid="{00000000-0002-0000-0100-00000C000000}">
      <formula1>importancia</formula1>
    </dataValidation>
    <dataValidation operator="lessThanOrEqual" allowBlank="1" showInputMessage="1" showErrorMessage="1" errorTitle="Mensaje exitoso" error="El valor ingresado en la variable A es mayor al umbral, el cual es considerado no exitoso." sqref="J13 J23 J29 J38 J155" xr:uid="{00000000-0002-0000-0100-00000D000000}"/>
    <dataValidation type="whole" operator="lessThanOrEqual" allowBlank="1" showInputMessage="1" showErrorMessage="1" errorTitle="Error en la métrica" error="El valor ingresado en la variable A debe ser menor al valor ingresado en la variable B._x000a_" sqref="J45 J55" xr:uid="{00000000-0002-0000-0100-00000E000000}">
      <formula1>J46</formula1>
    </dataValidation>
    <dataValidation type="whole" operator="greaterThanOrEqual" allowBlank="1" showInputMessage="1" showErrorMessage="1" errorTitle="Error en la métrica" error="El valor ingresado en la variable B debe ser menor al valor ingresado en la variable A._x000a_" sqref="J56" xr:uid="{00000000-0002-0000-0100-00000F000000}">
      <formula1>J55</formula1>
    </dataValidation>
    <dataValidation operator="lessThanOrEqual" allowBlank="1" showInputMessage="1" showErrorMessage="1" errorTitle="Mensaje exitoso" error="El valor ingresado en la variable A es mayor al umbral, el cual es considerado exitoso." sqref="J48 J58 J61 J64 J136" xr:uid="{00000000-0002-0000-0100-000010000000}"/>
    <dataValidation allowBlank="1" showInputMessage="1" showErrorMessage="1" errorTitle="Error en la métrica" error="El valor ingresado en la variable A es:_x000a_1. Mayor al umbral, el cual es considerado no exitoso._x000a_2. Igual a 0." sqref="J114" xr:uid="{00000000-0002-0000-0100-000011000000}"/>
    <dataValidation operator="lessThanOrEqual" allowBlank="1" showInputMessage="1" showErrorMessage="1" errorTitle="Error en la métrica" error="El valor ingresado en la variable A fue mayor que la variable B._x000a_" sqref="J51" xr:uid="{00000000-0002-0000-0100-000012000000}"/>
    <dataValidation operator="lessThanOrEqual" allowBlank="1" showInputMessage="1" showErrorMessage="1" errorTitle="Error en la métrica" error="El valor ingresado en la variable A debe ser menor o igual a la variable B" sqref="J53" xr:uid="{00000000-0002-0000-0100-000013000000}"/>
    <dataValidation operator="equal" allowBlank="1" showInputMessage="1" showErrorMessage="1" errorTitle="Error en la métrica" error="El valor ingresado en la variable T debe ser 1." sqref="J24" xr:uid="{00000000-0002-0000-0100-000015000000}"/>
  </dataValidations>
  <pageMargins left="0.7" right="0.7" top="0.75" bottom="0.75" header="0.3" footer="0.3"/>
  <pageSetup orientation="portrait" horizontalDpi="4294967294" verticalDpi="429496729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2:R164"/>
  <sheetViews>
    <sheetView showGridLines="0" topLeftCell="E166" zoomScale="70" zoomScaleNormal="70" workbookViewId="0">
      <selection activeCell="J130" sqref="J130"/>
    </sheetView>
  </sheetViews>
  <sheetFormatPr baseColWidth="10" defaultColWidth="11.42578125" defaultRowHeight="14.25" x14ac:dyDescent="0.2"/>
  <cols>
    <col min="1" max="1" width="6.85546875" style="9" customWidth="1"/>
    <col min="2" max="2" width="28.85546875" style="9" customWidth="1"/>
    <col min="3" max="3" width="36" style="9" customWidth="1"/>
    <col min="4" max="4" width="38.7109375" style="9" customWidth="1"/>
    <col min="5" max="5" width="39.7109375" style="9" customWidth="1"/>
    <col min="6" max="6" width="12.85546875" style="9" customWidth="1"/>
    <col min="7" max="7" width="11.5703125" style="9" customWidth="1"/>
    <col min="8" max="8" width="13.28515625" style="9" customWidth="1"/>
    <col min="9" max="9" width="10.28515625" style="9" customWidth="1"/>
    <col min="10" max="10" width="11.85546875" style="9" customWidth="1"/>
    <col min="11" max="11" width="21.85546875" style="9" customWidth="1"/>
    <col min="12" max="12" width="17.42578125" style="9" customWidth="1"/>
    <col min="13" max="13" width="20.7109375" style="25" customWidth="1"/>
    <col min="14" max="14" width="20.28515625" style="9" customWidth="1"/>
    <col min="15" max="15" width="14.28515625" style="9" customWidth="1"/>
    <col min="16" max="16" width="23.28515625" style="9" customWidth="1"/>
    <col min="17" max="17" width="46.85546875" style="69" customWidth="1"/>
    <col min="18" max="16384" width="11.42578125" style="9"/>
  </cols>
  <sheetData>
    <row r="2" spans="2:17" s="8" customFormat="1" ht="15" customHeight="1" x14ac:dyDescent="0.2">
      <c r="B2" s="185" t="s">
        <v>214</v>
      </c>
      <c r="C2" s="185"/>
      <c r="D2" s="185"/>
      <c r="E2" s="185"/>
      <c r="F2" s="185"/>
      <c r="G2" s="185"/>
      <c r="H2" s="185"/>
      <c r="I2" s="185"/>
      <c r="J2" s="185"/>
      <c r="K2" s="185"/>
      <c r="L2" s="185"/>
      <c r="M2" s="185"/>
      <c r="N2" s="185"/>
      <c r="O2" s="185"/>
      <c r="P2" s="185"/>
      <c r="Q2" s="69"/>
    </row>
    <row r="3" spans="2:17" s="8" customFormat="1" ht="14.25" customHeight="1" x14ac:dyDescent="0.2">
      <c r="B3" s="185"/>
      <c r="C3" s="185"/>
      <c r="D3" s="185"/>
      <c r="E3" s="185"/>
      <c r="F3" s="185"/>
      <c r="G3" s="185"/>
      <c r="H3" s="185"/>
      <c r="I3" s="185"/>
      <c r="J3" s="185"/>
      <c r="K3" s="185"/>
      <c r="L3" s="185"/>
      <c r="M3" s="185"/>
      <c r="N3" s="185"/>
      <c r="O3" s="185"/>
      <c r="P3" s="185"/>
      <c r="Q3" s="69"/>
    </row>
    <row r="4" spans="2:17" ht="15" x14ac:dyDescent="0.2">
      <c r="L4" s="10"/>
      <c r="M4" s="24"/>
    </row>
    <row r="6" spans="2:17" ht="45.75" customHeight="1" x14ac:dyDescent="0.2">
      <c r="B6" s="78" t="s">
        <v>1</v>
      </c>
      <c r="C6" s="78" t="s">
        <v>2</v>
      </c>
      <c r="D6" s="78" t="s">
        <v>3</v>
      </c>
      <c r="E6" s="78" t="s">
        <v>4</v>
      </c>
      <c r="F6" s="231" t="s">
        <v>5</v>
      </c>
      <c r="G6" s="231"/>
      <c r="H6" s="78" t="s">
        <v>6</v>
      </c>
      <c r="I6" s="164" t="s">
        <v>7</v>
      </c>
      <c r="J6" s="164"/>
      <c r="K6" s="77" t="s">
        <v>215</v>
      </c>
      <c r="L6" s="77" t="s">
        <v>9</v>
      </c>
      <c r="M6" s="26" t="s">
        <v>10</v>
      </c>
      <c r="N6" s="77" t="s">
        <v>11</v>
      </c>
      <c r="O6" s="77" t="s">
        <v>12</v>
      </c>
      <c r="P6" s="55" t="s">
        <v>13</v>
      </c>
      <c r="Q6" s="54" t="s">
        <v>14</v>
      </c>
    </row>
    <row r="7" spans="2:17" ht="39.75" customHeight="1" x14ac:dyDescent="0.2">
      <c r="B7" s="226" t="s">
        <v>15</v>
      </c>
      <c r="C7" s="225" t="s">
        <v>16</v>
      </c>
      <c r="D7" s="225" t="s">
        <v>17</v>
      </c>
      <c r="E7" s="232" t="s">
        <v>18</v>
      </c>
      <c r="F7" s="167">
        <v>0</v>
      </c>
      <c r="G7" s="167"/>
      <c r="H7" s="79" t="s">
        <v>19</v>
      </c>
      <c r="I7" s="11" t="s">
        <v>20</v>
      </c>
      <c r="J7" s="74">
        <v>6</v>
      </c>
      <c r="K7" s="91">
        <f>IF((J9="NA"),"NA",((1-J9)*10))</f>
        <v>8.125</v>
      </c>
      <c r="L7" s="91">
        <f>IF(AND(H7="No",H10="No",H13="No"),0,AVERAGE(K7:K15))</f>
        <v>4.166666666666667</v>
      </c>
      <c r="M7" s="222" t="s">
        <v>40</v>
      </c>
      <c r="N7" s="229">
        <v>0.2</v>
      </c>
      <c r="O7" s="228">
        <f>L7*N7</f>
        <v>0.83333333333333348</v>
      </c>
      <c r="P7" s="242">
        <f>SUM(O7,O17,O33,O58,O95,O113,O123,O151)</f>
        <v>5.3741692001621439</v>
      </c>
      <c r="Q7" s="249"/>
    </row>
    <row r="8" spans="2:17" ht="31.5" customHeight="1" x14ac:dyDescent="0.2">
      <c r="B8" s="226"/>
      <c r="C8" s="225" t="s">
        <v>22</v>
      </c>
      <c r="D8" s="225" t="s">
        <v>23</v>
      </c>
      <c r="E8" s="80"/>
      <c r="F8" s="167"/>
      <c r="G8" s="167"/>
      <c r="H8" s="80"/>
      <c r="I8" s="12" t="s">
        <v>24</v>
      </c>
      <c r="J8" s="75">
        <v>32</v>
      </c>
      <c r="K8" s="91"/>
      <c r="L8" s="91"/>
      <c r="M8" s="223"/>
      <c r="N8" s="229"/>
      <c r="O8" s="228"/>
      <c r="P8" s="243"/>
      <c r="Q8" s="250"/>
    </row>
    <row r="9" spans="2:17" ht="41.25" customHeight="1" x14ac:dyDescent="0.2">
      <c r="B9" s="226"/>
      <c r="C9" s="225"/>
      <c r="D9" s="225" t="s">
        <v>25</v>
      </c>
      <c r="E9" s="81"/>
      <c r="F9" s="167"/>
      <c r="G9" s="167"/>
      <c r="H9" s="81"/>
      <c r="I9" s="13" t="s">
        <v>26</v>
      </c>
      <c r="J9" s="6">
        <f>IF(AND(H7="Si"),(J7/J8),"NA")</f>
        <v>0.1875</v>
      </c>
      <c r="K9" s="91"/>
      <c r="L9" s="91"/>
      <c r="M9" s="223"/>
      <c r="N9" s="229"/>
      <c r="O9" s="228"/>
      <c r="P9" s="243"/>
      <c r="Q9" s="251"/>
    </row>
    <row r="10" spans="2:17" ht="39.75" customHeight="1" x14ac:dyDescent="0.2">
      <c r="B10" s="226"/>
      <c r="C10" s="227" t="s">
        <v>22</v>
      </c>
      <c r="D10" s="225" t="s">
        <v>27</v>
      </c>
      <c r="E10" s="169" t="s">
        <v>28</v>
      </c>
      <c r="F10" s="167">
        <v>1</v>
      </c>
      <c r="G10" s="167"/>
      <c r="H10" s="79" t="s">
        <v>19</v>
      </c>
      <c r="I10" s="11" t="s">
        <v>20</v>
      </c>
      <c r="J10" s="74">
        <v>1</v>
      </c>
      <c r="K10" s="91">
        <f>IF((J12="NA"),"NA",((J12/F10)*10))</f>
        <v>0.20833333333333331</v>
      </c>
      <c r="L10" s="91"/>
      <c r="M10" s="223"/>
      <c r="N10" s="229"/>
      <c r="O10" s="228"/>
      <c r="P10" s="243"/>
      <c r="Q10" s="189" t="s">
        <v>30</v>
      </c>
    </row>
    <row r="11" spans="2:17" ht="32.25" customHeight="1" x14ac:dyDescent="0.2">
      <c r="B11" s="226"/>
      <c r="C11" s="227"/>
      <c r="D11" s="225"/>
      <c r="E11" s="169"/>
      <c r="F11" s="167"/>
      <c r="G11" s="167"/>
      <c r="H11" s="80"/>
      <c r="I11" s="12" t="s">
        <v>24</v>
      </c>
      <c r="J11" s="75">
        <v>48</v>
      </c>
      <c r="K11" s="91"/>
      <c r="L11" s="91"/>
      <c r="M11" s="223"/>
      <c r="N11" s="229"/>
      <c r="O11" s="228"/>
      <c r="P11" s="243"/>
      <c r="Q11" s="190"/>
    </row>
    <row r="12" spans="2:17" ht="33.75" customHeight="1" x14ac:dyDescent="0.2">
      <c r="B12" s="226"/>
      <c r="C12" s="227"/>
      <c r="D12" s="225"/>
      <c r="E12" s="169"/>
      <c r="F12" s="167"/>
      <c r="G12" s="167"/>
      <c r="H12" s="81"/>
      <c r="I12" s="13" t="s">
        <v>26</v>
      </c>
      <c r="J12" s="6">
        <f>IF(AND(H10="Si"),(J10/J11),"NA")</f>
        <v>2.0833333333333332E-2</v>
      </c>
      <c r="K12" s="91"/>
      <c r="L12" s="91"/>
      <c r="M12" s="223"/>
      <c r="N12" s="229"/>
      <c r="O12" s="228"/>
      <c r="P12" s="243"/>
      <c r="Q12" s="191"/>
    </row>
    <row r="13" spans="2:17" ht="38.25" customHeight="1" x14ac:dyDescent="0.2">
      <c r="B13" s="226"/>
      <c r="C13" s="227"/>
      <c r="D13" s="233" t="s">
        <v>31</v>
      </c>
      <c r="E13" s="169" t="s">
        <v>216</v>
      </c>
      <c r="F13" s="169" t="s">
        <v>33</v>
      </c>
      <c r="G13" s="167"/>
      <c r="H13" s="79" t="s">
        <v>29</v>
      </c>
      <c r="I13" s="11" t="s">
        <v>20</v>
      </c>
      <c r="J13" s="74"/>
      <c r="K13" s="91" t="str">
        <f>IF((J15="NA"),"NA",IF(J13&gt;10,0,((1-(J13/10))*10)))</f>
        <v>NA</v>
      </c>
      <c r="L13" s="91"/>
      <c r="M13" s="223"/>
      <c r="N13" s="229"/>
      <c r="O13" s="228"/>
      <c r="P13" s="243"/>
      <c r="Q13" s="189" t="s">
        <v>34</v>
      </c>
    </row>
    <row r="14" spans="2:17" ht="32.25" customHeight="1" x14ac:dyDescent="0.2">
      <c r="B14" s="226"/>
      <c r="C14" s="227"/>
      <c r="D14" s="233"/>
      <c r="E14" s="167"/>
      <c r="F14" s="167"/>
      <c r="G14" s="167"/>
      <c r="H14" s="80"/>
      <c r="I14" s="12" t="s">
        <v>35</v>
      </c>
      <c r="J14" s="29" t="str">
        <f>IF(H13="Si",15,"")</f>
        <v/>
      </c>
      <c r="K14" s="91"/>
      <c r="L14" s="91"/>
      <c r="M14" s="223"/>
      <c r="N14" s="229"/>
      <c r="O14" s="228"/>
      <c r="P14" s="243"/>
      <c r="Q14" s="190"/>
    </row>
    <row r="15" spans="2:17" ht="33.75" customHeight="1" x14ac:dyDescent="0.2">
      <c r="B15" s="226"/>
      <c r="C15" s="227"/>
      <c r="D15" s="233"/>
      <c r="E15" s="167"/>
      <c r="F15" s="167"/>
      <c r="G15" s="167"/>
      <c r="H15" s="81"/>
      <c r="I15" s="13" t="s">
        <v>26</v>
      </c>
      <c r="J15" s="7" t="str">
        <f>IF(AND(H13="Si"),(J13&amp;"/"&amp;J14&amp;"min"),"NA")</f>
        <v>NA</v>
      </c>
      <c r="K15" s="91"/>
      <c r="L15" s="91"/>
      <c r="M15" s="224"/>
      <c r="N15" s="229"/>
      <c r="O15" s="228"/>
      <c r="P15" s="243"/>
      <c r="Q15" s="191"/>
    </row>
    <row r="16" spans="2:17" ht="5.25" customHeight="1" x14ac:dyDescent="0.2">
      <c r="B16" s="140"/>
      <c r="C16" s="141"/>
      <c r="D16" s="141"/>
      <c r="E16" s="141"/>
      <c r="F16" s="141"/>
      <c r="G16" s="141"/>
      <c r="H16" s="141"/>
      <c r="I16" s="141"/>
      <c r="J16" s="141"/>
      <c r="K16" s="141"/>
      <c r="L16" s="141"/>
      <c r="M16" s="141"/>
      <c r="N16" s="141"/>
      <c r="O16" s="141"/>
      <c r="P16" s="243"/>
    </row>
    <row r="17" spans="1:17" ht="31.5" customHeight="1" x14ac:dyDescent="0.2">
      <c r="B17" s="143" t="s">
        <v>36</v>
      </c>
      <c r="C17" s="100" t="s">
        <v>37</v>
      </c>
      <c r="D17" s="146" t="s">
        <v>38</v>
      </c>
      <c r="E17" s="147" t="s">
        <v>39</v>
      </c>
      <c r="F17" s="105">
        <v>1</v>
      </c>
      <c r="G17" s="105"/>
      <c r="H17" s="79" t="s">
        <v>29</v>
      </c>
      <c r="I17" s="11" t="s">
        <v>20</v>
      </c>
      <c r="J17" s="74"/>
      <c r="K17" s="230" t="str">
        <f>IF((J19="NA"),"NA",(J19*10))</f>
        <v>NA</v>
      </c>
      <c r="L17" s="106">
        <f>IF(AND(H17="No",H20="No",H23="No",H26="No",H29="No"),0,AVERAGE(K17:K31))</f>
        <v>10</v>
      </c>
      <c r="M17" s="222" t="s">
        <v>40</v>
      </c>
      <c r="N17" s="84">
        <v>0.1</v>
      </c>
      <c r="O17" s="131">
        <f>L17*N17</f>
        <v>1</v>
      </c>
      <c r="P17" s="244"/>
      <c r="Q17" s="192" t="s">
        <v>41</v>
      </c>
    </row>
    <row r="18" spans="1:17" ht="30" customHeight="1" x14ac:dyDescent="0.2">
      <c r="B18" s="144"/>
      <c r="C18" s="101"/>
      <c r="D18" s="146"/>
      <c r="E18" s="147"/>
      <c r="F18" s="105"/>
      <c r="G18" s="105"/>
      <c r="H18" s="80"/>
      <c r="I18" s="12" t="s">
        <v>24</v>
      </c>
      <c r="J18" s="75"/>
      <c r="K18" s="230"/>
      <c r="L18" s="107"/>
      <c r="M18" s="223"/>
      <c r="N18" s="85"/>
      <c r="O18" s="132"/>
      <c r="P18" s="243"/>
      <c r="Q18" s="193"/>
    </row>
    <row r="19" spans="1:17" s="14" customFormat="1" ht="36" customHeight="1" x14ac:dyDescent="0.2">
      <c r="A19" s="9"/>
      <c r="B19" s="144"/>
      <c r="C19" s="101"/>
      <c r="D19" s="146"/>
      <c r="E19" s="147"/>
      <c r="F19" s="105"/>
      <c r="G19" s="105"/>
      <c r="H19" s="81"/>
      <c r="I19" s="13" t="s">
        <v>26</v>
      </c>
      <c r="J19" s="6" t="str">
        <f>IF(AND(H17="Si"),(J17/J18),"NA")</f>
        <v>NA</v>
      </c>
      <c r="K19" s="230"/>
      <c r="L19" s="107"/>
      <c r="M19" s="223"/>
      <c r="N19" s="85"/>
      <c r="O19" s="132"/>
      <c r="P19" s="243"/>
      <c r="Q19" s="194"/>
    </row>
    <row r="20" spans="1:17" s="14" customFormat="1" ht="35.25" customHeight="1" x14ac:dyDescent="0.2">
      <c r="A20" s="9"/>
      <c r="B20" s="144"/>
      <c r="C20" s="101"/>
      <c r="D20" s="146" t="s">
        <v>42</v>
      </c>
      <c r="E20" s="147" t="s">
        <v>43</v>
      </c>
      <c r="F20" s="105">
        <v>1</v>
      </c>
      <c r="G20" s="105"/>
      <c r="H20" s="79" t="s">
        <v>29</v>
      </c>
      <c r="I20" s="11" t="s">
        <v>20</v>
      </c>
      <c r="J20" s="74"/>
      <c r="K20" s="230" t="str">
        <f>IF((J22="NA"),"NA",((J22*10)))</f>
        <v>NA</v>
      </c>
      <c r="L20" s="107"/>
      <c r="M20" s="223"/>
      <c r="N20" s="85"/>
      <c r="O20" s="132"/>
      <c r="P20" s="243"/>
      <c r="Q20" s="192" t="s">
        <v>44</v>
      </c>
    </row>
    <row r="21" spans="1:17" s="14" customFormat="1" ht="37.5" customHeight="1" x14ac:dyDescent="0.2">
      <c r="A21" s="9"/>
      <c r="B21" s="144"/>
      <c r="C21" s="101"/>
      <c r="D21" s="146"/>
      <c r="E21" s="147"/>
      <c r="F21" s="105"/>
      <c r="G21" s="105"/>
      <c r="H21" s="80"/>
      <c r="I21" s="12" t="s">
        <v>24</v>
      </c>
      <c r="J21" s="75"/>
      <c r="K21" s="230"/>
      <c r="L21" s="107"/>
      <c r="M21" s="223"/>
      <c r="N21" s="85"/>
      <c r="O21" s="132"/>
      <c r="P21" s="243"/>
      <c r="Q21" s="193"/>
    </row>
    <row r="22" spans="1:17" s="14" customFormat="1" ht="42" customHeight="1" x14ac:dyDescent="0.2">
      <c r="A22" s="9"/>
      <c r="B22" s="144"/>
      <c r="C22" s="101"/>
      <c r="D22" s="146"/>
      <c r="E22" s="147"/>
      <c r="F22" s="105"/>
      <c r="G22" s="105"/>
      <c r="H22" s="81"/>
      <c r="I22" s="13" t="s">
        <v>26</v>
      </c>
      <c r="J22" s="6" t="str">
        <f>IF(AND(H20="Si"),(J20/J21),"NA")</f>
        <v>NA</v>
      </c>
      <c r="K22" s="230"/>
      <c r="L22" s="107"/>
      <c r="M22" s="223"/>
      <c r="N22" s="85"/>
      <c r="O22" s="132"/>
      <c r="P22" s="243"/>
      <c r="Q22" s="194"/>
    </row>
    <row r="23" spans="1:17" s="14" customFormat="1" ht="36" customHeight="1" x14ac:dyDescent="0.2">
      <c r="A23" s="9"/>
      <c r="B23" s="144"/>
      <c r="C23" s="100" t="s">
        <v>57</v>
      </c>
      <c r="D23" s="146" t="s">
        <v>61</v>
      </c>
      <c r="E23" s="98" t="s">
        <v>62</v>
      </c>
      <c r="F23" s="99">
        <v>1</v>
      </c>
      <c r="G23" s="99"/>
      <c r="H23" s="79" t="s">
        <v>29</v>
      </c>
      <c r="I23" s="11" t="s">
        <v>20</v>
      </c>
      <c r="J23" s="74"/>
      <c r="K23" s="122" t="str">
        <f>IF((J25="NA"),"NA",((J25*10)))</f>
        <v>NA</v>
      </c>
      <c r="L23" s="107"/>
      <c r="M23" s="223"/>
      <c r="N23" s="85"/>
      <c r="O23" s="132"/>
      <c r="P23" s="243"/>
      <c r="Q23" s="192" t="s">
        <v>217</v>
      </c>
    </row>
    <row r="24" spans="1:17" s="14" customFormat="1" ht="34.5" customHeight="1" x14ac:dyDescent="0.2">
      <c r="A24" s="9"/>
      <c r="B24" s="144"/>
      <c r="C24" s="101"/>
      <c r="D24" s="146"/>
      <c r="E24" s="98"/>
      <c r="F24" s="99"/>
      <c r="G24" s="99"/>
      <c r="H24" s="80"/>
      <c r="I24" s="12" t="s">
        <v>24</v>
      </c>
      <c r="J24" s="75"/>
      <c r="K24" s="122"/>
      <c r="L24" s="107"/>
      <c r="M24" s="223"/>
      <c r="N24" s="85"/>
      <c r="O24" s="132"/>
      <c r="P24" s="243"/>
      <c r="Q24" s="193"/>
    </row>
    <row r="25" spans="1:17" s="14" customFormat="1" ht="36.75" customHeight="1" x14ac:dyDescent="0.2">
      <c r="A25" s="9"/>
      <c r="B25" s="144"/>
      <c r="C25" s="101"/>
      <c r="D25" s="146"/>
      <c r="E25" s="98"/>
      <c r="F25" s="99"/>
      <c r="G25" s="99"/>
      <c r="H25" s="81"/>
      <c r="I25" s="13" t="s">
        <v>87</v>
      </c>
      <c r="J25" s="6" t="str">
        <f>IF(AND(H23="Si"),(J23/J24),"NA")</f>
        <v>NA</v>
      </c>
      <c r="K25" s="122"/>
      <c r="L25" s="107"/>
      <c r="M25" s="223"/>
      <c r="N25" s="85"/>
      <c r="O25" s="132"/>
      <c r="P25" s="243"/>
      <c r="Q25" s="194"/>
    </row>
    <row r="26" spans="1:17" s="14" customFormat="1" ht="36.75" customHeight="1" x14ac:dyDescent="0.2">
      <c r="A26" s="9"/>
      <c r="B26" s="144"/>
      <c r="C26" s="101"/>
      <c r="D26" s="146" t="s">
        <v>218</v>
      </c>
      <c r="E26" s="98" t="s">
        <v>219</v>
      </c>
      <c r="F26" s="99">
        <v>0</v>
      </c>
      <c r="G26" s="99"/>
      <c r="H26" s="79" t="s">
        <v>19</v>
      </c>
      <c r="I26" s="11" t="s">
        <v>20</v>
      </c>
      <c r="J26" s="74">
        <v>0</v>
      </c>
      <c r="K26" s="91">
        <f>IF((J28="NA"),"NA",((1-J28)*10))</f>
        <v>10</v>
      </c>
      <c r="L26" s="107"/>
      <c r="M26" s="223"/>
      <c r="N26" s="85"/>
      <c r="O26" s="132"/>
      <c r="P26" s="243"/>
      <c r="Q26" s="192" t="s">
        <v>220</v>
      </c>
    </row>
    <row r="27" spans="1:17" s="14" customFormat="1" ht="36.75" customHeight="1" x14ac:dyDescent="0.2">
      <c r="A27" s="9"/>
      <c r="B27" s="144"/>
      <c r="C27" s="101"/>
      <c r="D27" s="146"/>
      <c r="E27" s="98"/>
      <c r="F27" s="99"/>
      <c r="G27" s="99"/>
      <c r="H27" s="80"/>
      <c r="I27" s="12" t="s">
        <v>24</v>
      </c>
      <c r="J27" s="75">
        <v>1</v>
      </c>
      <c r="K27" s="91"/>
      <c r="L27" s="107"/>
      <c r="M27" s="223"/>
      <c r="N27" s="85"/>
      <c r="O27" s="132"/>
      <c r="P27" s="243"/>
      <c r="Q27" s="193"/>
    </row>
    <row r="28" spans="1:17" s="14" customFormat="1" ht="36.75" customHeight="1" x14ac:dyDescent="0.2">
      <c r="A28" s="9"/>
      <c r="B28" s="144"/>
      <c r="C28" s="102"/>
      <c r="D28" s="146"/>
      <c r="E28" s="98"/>
      <c r="F28" s="99"/>
      <c r="G28" s="99"/>
      <c r="H28" s="81"/>
      <c r="I28" s="13" t="s">
        <v>26</v>
      </c>
      <c r="J28" s="6">
        <f>IF(AND(H26="Si"),(J26/J27),"NA")</f>
        <v>0</v>
      </c>
      <c r="K28" s="91"/>
      <c r="L28" s="107"/>
      <c r="M28" s="223"/>
      <c r="N28" s="85"/>
      <c r="O28" s="132"/>
      <c r="P28" s="243"/>
      <c r="Q28" s="194"/>
    </row>
    <row r="29" spans="1:17" ht="45.75" customHeight="1" x14ac:dyDescent="0.2">
      <c r="B29" s="144"/>
      <c r="C29" s="100" t="s">
        <v>64</v>
      </c>
      <c r="D29" s="100" t="s">
        <v>65</v>
      </c>
      <c r="E29" s="103" t="s">
        <v>66</v>
      </c>
      <c r="F29" s="111" t="s">
        <v>55</v>
      </c>
      <c r="G29" s="112"/>
      <c r="H29" s="79" t="s">
        <v>29</v>
      </c>
      <c r="I29" s="11" t="s">
        <v>20</v>
      </c>
      <c r="J29" s="74"/>
      <c r="K29" s="106" t="str">
        <f>IF((J31="NA"),"NA",IF(J29&gt;10,0,(((1-(J29/10))*10))))</f>
        <v>NA</v>
      </c>
      <c r="L29" s="107"/>
      <c r="M29" s="223"/>
      <c r="N29" s="85"/>
      <c r="O29" s="132"/>
      <c r="P29" s="243"/>
      <c r="Q29" s="192" t="s">
        <v>67</v>
      </c>
    </row>
    <row r="30" spans="1:17" ht="42.75" customHeight="1" x14ac:dyDescent="0.2">
      <c r="B30" s="144"/>
      <c r="C30" s="101"/>
      <c r="D30" s="101"/>
      <c r="E30" s="90"/>
      <c r="F30" s="113"/>
      <c r="G30" s="114"/>
      <c r="H30" s="80"/>
      <c r="I30" s="12" t="s">
        <v>35</v>
      </c>
      <c r="J30" s="29" t="str">
        <f>IF(H29="Si",1,"")</f>
        <v/>
      </c>
      <c r="K30" s="107"/>
      <c r="L30" s="107"/>
      <c r="M30" s="223"/>
      <c r="N30" s="85"/>
      <c r="O30" s="132"/>
      <c r="P30" s="243"/>
      <c r="Q30" s="193"/>
    </row>
    <row r="31" spans="1:17" ht="39.75" customHeight="1" x14ac:dyDescent="0.2">
      <c r="B31" s="145"/>
      <c r="C31" s="102"/>
      <c r="D31" s="102"/>
      <c r="E31" s="83"/>
      <c r="F31" s="115"/>
      <c r="G31" s="116"/>
      <c r="H31" s="81"/>
      <c r="I31" s="13" t="s">
        <v>48</v>
      </c>
      <c r="J31" s="7" t="str">
        <f>IF(AND(H29="Si"),(J29&amp;"/"&amp;J30&amp;"min"),"NA")</f>
        <v>NA</v>
      </c>
      <c r="K31" s="108"/>
      <c r="L31" s="108"/>
      <c r="M31" s="224"/>
      <c r="N31" s="86"/>
      <c r="O31" s="133"/>
      <c r="P31" s="243"/>
      <c r="Q31" s="194"/>
    </row>
    <row r="32" spans="1:17" ht="5.25" customHeight="1" x14ac:dyDescent="0.2">
      <c r="B32" s="92"/>
      <c r="C32" s="93"/>
      <c r="D32" s="93"/>
      <c r="E32" s="93"/>
      <c r="F32" s="93"/>
      <c r="G32" s="93"/>
      <c r="H32" s="93"/>
      <c r="I32" s="93"/>
      <c r="J32" s="93"/>
      <c r="K32" s="93"/>
      <c r="L32" s="93"/>
      <c r="M32" s="93"/>
      <c r="N32" s="93"/>
      <c r="O32" s="93"/>
      <c r="P32" s="243"/>
      <c r="Q32" s="70"/>
    </row>
    <row r="33" spans="2:17" ht="33.75" customHeight="1" x14ac:dyDescent="0.2">
      <c r="B33" s="165" t="s">
        <v>68</v>
      </c>
      <c r="C33" s="95" t="s">
        <v>69</v>
      </c>
      <c r="D33" s="95" t="s">
        <v>70</v>
      </c>
      <c r="E33" s="103" t="s">
        <v>71</v>
      </c>
      <c r="F33" s="111" t="s">
        <v>221</v>
      </c>
      <c r="G33" s="112"/>
      <c r="H33" s="79" t="s">
        <v>19</v>
      </c>
      <c r="I33" s="11" t="s">
        <v>20</v>
      </c>
      <c r="J33" s="74">
        <v>1</v>
      </c>
      <c r="K33" s="135">
        <f>IF(OR(J35="NA"),"NA",IF(J35&gt;15,0,((J35/15)*10)))</f>
        <v>0.66666666666666663</v>
      </c>
      <c r="L33" s="91">
        <f>IF(AND(H33="No",H36="No",H39="No",H42="No",H44="No",H46="No",H48="No",H51="No",H54="No"),0,AVERAGE(K33:K56))</f>
        <v>4.1809523809523812</v>
      </c>
      <c r="M33" s="222" t="s">
        <v>40</v>
      </c>
      <c r="N33" s="229">
        <v>0.15</v>
      </c>
      <c r="O33" s="228">
        <f>L33*N33</f>
        <v>0.62714285714285711</v>
      </c>
      <c r="P33" s="243"/>
      <c r="Q33" s="192"/>
    </row>
    <row r="34" spans="2:17" ht="33.75" customHeight="1" x14ac:dyDescent="0.2">
      <c r="B34" s="165"/>
      <c r="C34" s="96"/>
      <c r="D34" s="96"/>
      <c r="E34" s="90"/>
      <c r="F34" s="113"/>
      <c r="G34" s="114"/>
      <c r="H34" s="80"/>
      <c r="I34" s="12" t="s">
        <v>24</v>
      </c>
      <c r="J34" s="75">
        <v>2</v>
      </c>
      <c r="K34" s="136"/>
      <c r="L34" s="167"/>
      <c r="M34" s="223"/>
      <c r="N34" s="229"/>
      <c r="O34" s="228"/>
      <c r="P34" s="243"/>
      <c r="Q34" s="193"/>
    </row>
    <row r="35" spans="2:17" ht="35.25" customHeight="1" x14ac:dyDescent="0.2">
      <c r="B35" s="165"/>
      <c r="C35" s="96"/>
      <c r="D35" s="97"/>
      <c r="E35" s="83"/>
      <c r="F35" s="115"/>
      <c r="G35" s="116"/>
      <c r="H35" s="81"/>
      <c r="I35" s="13" t="s">
        <v>26</v>
      </c>
      <c r="J35" s="7">
        <f>IF((H33="Si"),(J34-J33),"NA")</f>
        <v>1</v>
      </c>
      <c r="K35" s="137"/>
      <c r="L35" s="167"/>
      <c r="M35" s="223"/>
      <c r="N35" s="229"/>
      <c r="O35" s="228"/>
      <c r="P35" s="243"/>
      <c r="Q35" s="194"/>
    </row>
    <row r="36" spans="2:17" ht="35.25" customHeight="1" x14ac:dyDescent="0.2">
      <c r="B36" s="165"/>
      <c r="C36" s="96"/>
      <c r="D36" s="95" t="s">
        <v>73</v>
      </c>
      <c r="E36" s="103" t="s">
        <v>74</v>
      </c>
      <c r="F36" s="111" t="s">
        <v>75</v>
      </c>
      <c r="G36" s="112"/>
      <c r="H36" s="79" t="s">
        <v>19</v>
      </c>
      <c r="I36" s="11" t="s">
        <v>20</v>
      </c>
      <c r="J36" s="74">
        <v>0</v>
      </c>
      <c r="K36" s="135">
        <f>IF(OR(J38="NA"),"NA",IF(J38&gt;20,0,((J38/20))*10))</f>
        <v>7.5</v>
      </c>
      <c r="L36" s="167"/>
      <c r="M36" s="223"/>
      <c r="N36" s="229"/>
      <c r="O36" s="228"/>
      <c r="P36" s="243"/>
      <c r="Q36" s="192"/>
    </row>
    <row r="37" spans="2:17" ht="35.25" customHeight="1" x14ac:dyDescent="0.2">
      <c r="B37" s="165"/>
      <c r="C37" s="96"/>
      <c r="D37" s="96"/>
      <c r="E37" s="90"/>
      <c r="F37" s="113"/>
      <c r="G37" s="114"/>
      <c r="H37" s="80"/>
      <c r="I37" s="12" t="s">
        <v>24</v>
      </c>
      <c r="J37" s="75">
        <v>15</v>
      </c>
      <c r="K37" s="136"/>
      <c r="L37" s="167"/>
      <c r="M37" s="223"/>
      <c r="N37" s="229"/>
      <c r="O37" s="228"/>
      <c r="P37" s="243"/>
      <c r="Q37" s="193"/>
    </row>
    <row r="38" spans="2:17" ht="34.5" customHeight="1" x14ac:dyDescent="0.2">
      <c r="B38" s="165"/>
      <c r="C38" s="96"/>
      <c r="D38" s="97"/>
      <c r="E38" s="83"/>
      <c r="F38" s="115"/>
      <c r="G38" s="116"/>
      <c r="H38" s="81"/>
      <c r="I38" s="13" t="s">
        <v>26</v>
      </c>
      <c r="J38" s="7">
        <f>IF((H36="Si"),(J37-J36),"NA")</f>
        <v>15</v>
      </c>
      <c r="K38" s="137"/>
      <c r="L38" s="167"/>
      <c r="M38" s="223"/>
      <c r="N38" s="229"/>
      <c r="O38" s="228"/>
      <c r="P38" s="243"/>
      <c r="Q38" s="194"/>
    </row>
    <row r="39" spans="2:17" ht="36" customHeight="1" x14ac:dyDescent="0.2">
      <c r="B39" s="165"/>
      <c r="C39" s="96"/>
      <c r="D39" s="95" t="s">
        <v>76</v>
      </c>
      <c r="E39" s="117" t="s">
        <v>77</v>
      </c>
      <c r="F39" s="120" t="s">
        <v>78</v>
      </c>
      <c r="G39" s="121"/>
      <c r="H39" s="79" t="s">
        <v>19</v>
      </c>
      <c r="I39" s="15" t="s">
        <v>20</v>
      </c>
      <c r="J39" s="76">
        <v>3</v>
      </c>
      <c r="K39" s="106">
        <f>IF((J41="NA"),"NA",IF(J39&gt;=10,10,((J39/20)*10)))</f>
        <v>1.5</v>
      </c>
      <c r="L39" s="167"/>
      <c r="M39" s="223"/>
      <c r="N39" s="229"/>
      <c r="O39" s="228"/>
      <c r="P39" s="243"/>
      <c r="Q39" s="192"/>
    </row>
    <row r="40" spans="2:17" ht="31.5" customHeight="1" x14ac:dyDescent="0.2">
      <c r="B40" s="165"/>
      <c r="C40" s="96"/>
      <c r="D40" s="96"/>
      <c r="E40" s="170"/>
      <c r="F40" s="121"/>
      <c r="G40" s="121"/>
      <c r="H40" s="80"/>
      <c r="I40" s="16" t="s">
        <v>35</v>
      </c>
      <c r="J40" s="28">
        <v>15</v>
      </c>
      <c r="K40" s="107"/>
      <c r="L40" s="167"/>
      <c r="M40" s="223"/>
      <c r="N40" s="229"/>
      <c r="O40" s="228"/>
      <c r="P40" s="243"/>
      <c r="Q40" s="193"/>
    </row>
    <row r="41" spans="2:17" ht="31.5" customHeight="1" x14ac:dyDescent="0.2">
      <c r="B41" s="165"/>
      <c r="C41" s="97"/>
      <c r="D41" s="97"/>
      <c r="E41" s="134"/>
      <c r="F41" s="121"/>
      <c r="G41" s="121"/>
      <c r="H41" s="81"/>
      <c r="I41" s="17" t="s">
        <v>26</v>
      </c>
      <c r="J41" s="7" t="str">
        <f>IF((H39="Si"),(J39&amp;"/"&amp;J40&amp;"min"),"NA")</f>
        <v>3/15min</v>
      </c>
      <c r="K41" s="108"/>
      <c r="L41" s="167"/>
      <c r="M41" s="223"/>
      <c r="N41" s="229"/>
      <c r="O41" s="228"/>
      <c r="P41" s="243"/>
      <c r="Q41" s="194"/>
    </row>
    <row r="42" spans="2:17" ht="29.25" customHeight="1" x14ac:dyDescent="0.2">
      <c r="B42" s="165"/>
      <c r="C42" s="95" t="s">
        <v>79</v>
      </c>
      <c r="D42" s="123" t="s">
        <v>222</v>
      </c>
      <c r="E42" s="103" t="s">
        <v>223</v>
      </c>
      <c r="F42" s="111" t="s">
        <v>224</v>
      </c>
      <c r="G42" s="112"/>
      <c r="H42" s="82" t="s">
        <v>19</v>
      </c>
      <c r="I42" s="11" t="s">
        <v>20</v>
      </c>
      <c r="J42" s="74">
        <v>14365</v>
      </c>
      <c r="K42" s="106">
        <f>IF((J43="NA"),"NA",IF(J43&gt;50,0,(((1-(J43/50))*10))))</f>
        <v>0</v>
      </c>
      <c r="L42" s="167"/>
      <c r="M42" s="223"/>
      <c r="N42" s="229"/>
      <c r="O42" s="228"/>
      <c r="P42" s="243"/>
      <c r="Q42" s="192"/>
    </row>
    <row r="43" spans="2:17" ht="26.25" customHeight="1" x14ac:dyDescent="0.2">
      <c r="B43" s="165"/>
      <c r="C43" s="96"/>
      <c r="D43" s="157"/>
      <c r="E43" s="90"/>
      <c r="F43" s="113"/>
      <c r="G43" s="114"/>
      <c r="H43" s="83"/>
      <c r="I43" s="12" t="s">
        <v>26</v>
      </c>
      <c r="J43" s="27">
        <f>IF(H42="Si",(J42),"NA")</f>
        <v>14365</v>
      </c>
      <c r="K43" s="107"/>
      <c r="L43" s="167"/>
      <c r="M43" s="223"/>
      <c r="N43" s="229"/>
      <c r="O43" s="228"/>
      <c r="P43" s="243"/>
      <c r="Q43" s="194"/>
    </row>
    <row r="44" spans="2:17" ht="30.75" customHeight="1" x14ac:dyDescent="0.2">
      <c r="B44" s="165"/>
      <c r="C44" s="96"/>
      <c r="D44" s="123" t="s">
        <v>80</v>
      </c>
      <c r="E44" s="117" t="s">
        <v>81</v>
      </c>
      <c r="F44" s="120" t="s">
        <v>82</v>
      </c>
      <c r="G44" s="121"/>
      <c r="H44" s="79" t="s">
        <v>19</v>
      </c>
      <c r="I44" s="11" t="s">
        <v>20</v>
      </c>
      <c r="J44" s="74">
        <v>25</v>
      </c>
      <c r="K44" s="122">
        <f>IF((J45="NA"),"NA",IF(J45&gt;=10,0,IF(J45=1,10,((1-(J45/10))*10))))</f>
        <v>0</v>
      </c>
      <c r="L44" s="167"/>
      <c r="M44" s="223"/>
      <c r="N44" s="229"/>
      <c r="O44" s="228"/>
      <c r="P44" s="243"/>
      <c r="Q44" s="192"/>
    </row>
    <row r="45" spans="2:17" ht="29.25" customHeight="1" x14ac:dyDescent="0.2">
      <c r="B45" s="165"/>
      <c r="C45" s="96"/>
      <c r="D45" s="124" t="s">
        <v>83</v>
      </c>
      <c r="E45" s="134"/>
      <c r="F45" s="121"/>
      <c r="G45" s="121"/>
      <c r="H45" s="81"/>
      <c r="I45" s="13" t="s">
        <v>26</v>
      </c>
      <c r="J45" s="6">
        <f>IF(H44="Si",(J44),"NA")</f>
        <v>25</v>
      </c>
      <c r="K45" s="122"/>
      <c r="L45" s="167"/>
      <c r="M45" s="223"/>
      <c r="N45" s="229"/>
      <c r="O45" s="228"/>
      <c r="P45" s="243"/>
      <c r="Q45" s="194"/>
    </row>
    <row r="46" spans="2:17" ht="36" customHeight="1" x14ac:dyDescent="0.2">
      <c r="B46" s="165"/>
      <c r="C46" s="96"/>
      <c r="D46" s="123" t="s">
        <v>84</v>
      </c>
      <c r="E46" s="103" t="s">
        <v>85</v>
      </c>
      <c r="F46" s="111" t="s">
        <v>86</v>
      </c>
      <c r="G46" s="112"/>
      <c r="H46" s="79" t="s">
        <v>19</v>
      </c>
      <c r="I46" s="11" t="s">
        <v>20</v>
      </c>
      <c r="J46" s="74">
        <v>0.4</v>
      </c>
      <c r="K46" s="122">
        <f>IF((J47="NA"),"NA",IF(J47&gt;=10,0,IF(J47=1,10,((1-(J47/10))*10))))</f>
        <v>9.6</v>
      </c>
      <c r="L46" s="167"/>
      <c r="M46" s="223"/>
      <c r="N46" s="229"/>
      <c r="O46" s="228"/>
      <c r="P46" s="243"/>
      <c r="Q46" s="192"/>
    </row>
    <row r="47" spans="2:17" ht="26.25" customHeight="1" x14ac:dyDescent="0.2">
      <c r="B47" s="165"/>
      <c r="C47" s="96"/>
      <c r="D47" s="124"/>
      <c r="E47" s="83"/>
      <c r="F47" s="115"/>
      <c r="G47" s="116"/>
      <c r="H47" s="81"/>
      <c r="I47" s="13" t="s">
        <v>87</v>
      </c>
      <c r="J47" s="6">
        <f>IF(H46="Si",(J46),"NA")</f>
        <v>0.4</v>
      </c>
      <c r="K47" s="122"/>
      <c r="L47" s="167"/>
      <c r="M47" s="223"/>
      <c r="N47" s="229"/>
      <c r="O47" s="228"/>
      <c r="P47" s="243"/>
      <c r="Q47" s="194"/>
    </row>
    <row r="48" spans="2:17" ht="33.75" customHeight="1" x14ac:dyDescent="0.2">
      <c r="B48" s="165"/>
      <c r="C48" s="96"/>
      <c r="D48" s="95" t="s">
        <v>88</v>
      </c>
      <c r="E48" s="103" t="s">
        <v>225</v>
      </c>
      <c r="F48" s="104" t="s">
        <v>90</v>
      </c>
      <c r="G48" s="105"/>
      <c r="H48" s="79" t="s">
        <v>19</v>
      </c>
      <c r="I48" s="11" t="s">
        <v>20</v>
      </c>
      <c r="J48" s="74">
        <v>300</v>
      </c>
      <c r="K48" s="135">
        <f>IF((J50="NA"),"NA",IF(J50&gt;15,0,(((1-(J50/15))*10))))</f>
        <v>10</v>
      </c>
      <c r="L48" s="167"/>
      <c r="M48" s="223"/>
      <c r="N48" s="229"/>
      <c r="O48" s="228"/>
      <c r="P48" s="243"/>
      <c r="Q48" s="192"/>
    </row>
    <row r="49" spans="2:17" ht="33.75" customHeight="1" x14ac:dyDescent="0.2">
      <c r="B49" s="165"/>
      <c r="C49" s="96"/>
      <c r="D49" s="96"/>
      <c r="E49" s="90"/>
      <c r="F49" s="105"/>
      <c r="G49" s="105"/>
      <c r="H49" s="80"/>
      <c r="I49" s="12" t="s">
        <v>24</v>
      </c>
      <c r="J49" s="75">
        <v>300</v>
      </c>
      <c r="K49" s="136"/>
      <c r="L49" s="167"/>
      <c r="M49" s="223"/>
      <c r="N49" s="229"/>
      <c r="O49" s="228"/>
      <c r="P49" s="243"/>
      <c r="Q49" s="193"/>
    </row>
    <row r="50" spans="2:17" ht="33.75" customHeight="1" x14ac:dyDescent="0.2">
      <c r="B50" s="165"/>
      <c r="C50" s="97"/>
      <c r="D50" s="97"/>
      <c r="E50" s="83"/>
      <c r="F50" s="105"/>
      <c r="G50" s="105"/>
      <c r="H50" s="81"/>
      <c r="I50" s="13" t="s">
        <v>26</v>
      </c>
      <c r="J50" s="7">
        <f>IF((H48="Si"),(J49-J48),"NA")</f>
        <v>0</v>
      </c>
      <c r="K50" s="137"/>
      <c r="L50" s="167"/>
      <c r="M50" s="223"/>
      <c r="N50" s="229"/>
      <c r="O50" s="228"/>
      <c r="P50" s="243"/>
      <c r="Q50" s="194"/>
    </row>
    <row r="51" spans="2:17" ht="39" customHeight="1" x14ac:dyDescent="0.2">
      <c r="B51" s="165"/>
      <c r="C51" s="146" t="s">
        <v>91</v>
      </c>
      <c r="D51" s="100" t="s">
        <v>92</v>
      </c>
      <c r="E51" s="103" t="s">
        <v>93</v>
      </c>
      <c r="F51" s="104" t="s">
        <v>94</v>
      </c>
      <c r="G51" s="105"/>
      <c r="H51" s="79" t="s">
        <v>29</v>
      </c>
      <c r="I51" s="11" t="s">
        <v>20</v>
      </c>
      <c r="J51" s="76"/>
      <c r="K51" s="106" t="str">
        <f>IF((J53="NA"),"NA",IF(J51&gt;10,10,(((J51/10)*10))))</f>
        <v>NA</v>
      </c>
      <c r="L51" s="167"/>
      <c r="M51" s="223"/>
      <c r="N51" s="229"/>
      <c r="O51" s="228"/>
      <c r="P51" s="243"/>
      <c r="Q51" s="192" t="s">
        <v>95</v>
      </c>
    </row>
    <row r="52" spans="2:17" ht="35.25" customHeight="1" x14ac:dyDescent="0.2">
      <c r="B52" s="165"/>
      <c r="C52" s="146"/>
      <c r="D52" s="101"/>
      <c r="E52" s="90"/>
      <c r="F52" s="105"/>
      <c r="G52" s="105"/>
      <c r="H52" s="80"/>
      <c r="I52" s="12" t="s">
        <v>35</v>
      </c>
      <c r="J52" s="29" t="str">
        <f>IF(H51="Si",3,"")</f>
        <v/>
      </c>
      <c r="K52" s="107"/>
      <c r="L52" s="167"/>
      <c r="M52" s="223"/>
      <c r="N52" s="229"/>
      <c r="O52" s="228"/>
      <c r="P52" s="243"/>
      <c r="Q52" s="193"/>
    </row>
    <row r="53" spans="2:17" ht="33" customHeight="1" x14ac:dyDescent="0.2">
      <c r="B53" s="165"/>
      <c r="C53" s="146"/>
      <c r="D53" s="102"/>
      <c r="E53" s="83"/>
      <c r="F53" s="105"/>
      <c r="G53" s="105"/>
      <c r="H53" s="81"/>
      <c r="I53" s="13" t="s">
        <v>26</v>
      </c>
      <c r="J53" s="7" t="str">
        <f>IF(H51="Si",(J51&amp;"/"&amp;J52&amp;"min"),"NA")</f>
        <v>NA</v>
      </c>
      <c r="K53" s="108"/>
      <c r="L53" s="167"/>
      <c r="M53" s="223"/>
      <c r="N53" s="229"/>
      <c r="O53" s="228"/>
      <c r="P53" s="243"/>
      <c r="Q53" s="194"/>
    </row>
    <row r="54" spans="2:17" ht="33" customHeight="1" x14ac:dyDescent="0.2">
      <c r="B54" s="165"/>
      <c r="C54" s="146"/>
      <c r="D54" s="100" t="s">
        <v>96</v>
      </c>
      <c r="E54" s="103" t="s">
        <v>97</v>
      </c>
      <c r="F54" s="104" t="s">
        <v>94</v>
      </c>
      <c r="G54" s="105"/>
      <c r="H54" s="79" t="s">
        <v>29</v>
      </c>
      <c r="I54" s="11" t="s">
        <v>20</v>
      </c>
      <c r="J54" s="76"/>
      <c r="K54" s="106" t="str">
        <f>IF((J56="NA"),"NA",IF(J54&gt;10,10,(((J54/10)*10))))</f>
        <v>NA</v>
      </c>
      <c r="L54" s="167"/>
      <c r="M54" s="223"/>
      <c r="N54" s="229"/>
      <c r="O54" s="228"/>
      <c r="P54" s="243"/>
      <c r="Q54" s="192" t="s">
        <v>98</v>
      </c>
    </row>
    <row r="55" spans="2:17" ht="33" customHeight="1" x14ac:dyDescent="0.2">
      <c r="B55" s="165"/>
      <c r="C55" s="146"/>
      <c r="D55" s="101"/>
      <c r="E55" s="90"/>
      <c r="F55" s="105"/>
      <c r="G55" s="105"/>
      <c r="H55" s="80"/>
      <c r="I55" s="12" t="s">
        <v>35</v>
      </c>
      <c r="J55" s="29" t="str">
        <f>IF(H54="Si",3,"")</f>
        <v/>
      </c>
      <c r="K55" s="107"/>
      <c r="L55" s="167"/>
      <c r="M55" s="223"/>
      <c r="N55" s="229"/>
      <c r="O55" s="228"/>
      <c r="P55" s="243"/>
      <c r="Q55" s="193"/>
    </row>
    <row r="56" spans="2:17" ht="33" customHeight="1" x14ac:dyDescent="0.2">
      <c r="B56" s="165"/>
      <c r="C56" s="146"/>
      <c r="D56" s="102"/>
      <c r="E56" s="83"/>
      <c r="F56" s="105"/>
      <c r="G56" s="105"/>
      <c r="H56" s="81"/>
      <c r="I56" s="13" t="s">
        <v>26</v>
      </c>
      <c r="J56" s="7" t="str">
        <f>IF(H54="Si",(J54&amp;"/"&amp;J55&amp;"min"),"NA")</f>
        <v>NA</v>
      </c>
      <c r="K56" s="108"/>
      <c r="L56" s="167"/>
      <c r="M56" s="224"/>
      <c r="N56" s="229"/>
      <c r="O56" s="228"/>
      <c r="P56" s="243"/>
      <c r="Q56" s="194"/>
    </row>
    <row r="57" spans="2:17" ht="5.25" customHeight="1" x14ac:dyDescent="0.2">
      <c r="B57" s="92"/>
      <c r="C57" s="93"/>
      <c r="D57" s="93"/>
      <c r="E57" s="93"/>
      <c r="F57" s="93"/>
      <c r="G57" s="93"/>
      <c r="H57" s="93"/>
      <c r="I57" s="93"/>
      <c r="J57" s="93"/>
      <c r="K57" s="93"/>
      <c r="L57" s="93"/>
      <c r="M57" s="93"/>
      <c r="N57" s="93"/>
      <c r="O57" s="93"/>
      <c r="P57" s="243"/>
      <c r="Q57" s="70"/>
    </row>
    <row r="58" spans="2:17" ht="36.75" customHeight="1" x14ac:dyDescent="0.2">
      <c r="B58" s="143" t="s">
        <v>103</v>
      </c>
      <c r="C58" s="95" t="s">
        <v>104</v>
      </c>
      <c r="D58" s="95" t="s">
        <v>105</v>
      </c>
      <c r="E58" s="103" t="s">
        <v>106</v>
      </c>
      <c r="F58" s="171">
        <v>1</v>
      </c>
      <c r="G58" s="112"/>
      <c r="H58" s="79" t="s">
        <v>19</v>
      </c>
      <c r="I58" s="11" t="s">
        <v>20</v>
      </c>
      <c r="J58" s="74">
        <v>32</v>
      </c>
      <c r="K58" s="122">
        <f>IF((J60="NA"),"NA",((J60*10)))</f>
        <v>10</v>
      </c>
      <c r="L58" s="106">
        <f>IF(AND(H58="No",H61="No",H64="No",H67="No",H70="No",H73="No",H76="No",H79="No",H82="No",H85="No",H88="No",H91="No"),0,AVERAGE(K58:K93))</f>
        <v>6.0912867312396877</v>
      </c>
      <c r="M58" s="222" t="s">
        <v>40</v>
      </c>
      <c r="N58" s="84">
        <v>0.15</v>
      </c>
      <c r="O58" s="131">
        <f>L58*N58</f>
        <v>0.91369300968595313</v>
      </c>
      <c r="P58" s="243"/>
      <c r="Q58" s="192"/>
    </row>
    <row r="59" spans="2:17" ht="33.75" customHeight="1" x14ac:dyDescent="0.2">
      <c r="B59" s="144"/>
      <c r="C59" s="96"/>
      <c r="D59" s="96"/>
      <c r="E59" s="90"/>
      <c r="F59" s="113"/>
      <c r="G59" s="114"/>
      <c r="H59" s="80"/>
      <c r="I59" s="12" t="s">
        <v>24</v>
      </c>
      <c r="J59" s="75">
        <v>32</v>
      </c>
      <c r="K59" s="122"/>
      <c r="L59" s="80"/>
      <c r="M59" s="223"/>
      <c r="N59" s="90"/>
      <c r="O59" s="132"/>
      <c r="P59" s="243"/>
      <c r="Q59" s="193"/>
    </row>
    <row r="60" spans="2:17" ht="33.75" customHeight="1" x14ac:dyDescent="0.2">
      <c r="B60" s="144"/>
      <c r="C60" s="96"/>
      <c r="D60" s="97"/>
      <c r="E60" s="83"/>
      <c r="F60" s="115"/>
      <c r="G60" s="116"/>
      <c r="H60" s="81"/>
      <c r="I60" s="13" t="s">
        <v>87</v>
      </c>
      <c r="J60" s="6">
        <f>IF(AND(H58="Si"),(J58/J59),"NA")</f>
        <v>1</v>
      </c>
      <c r="K60" s="122"/>
      <c r="L60" s="80"/>
      <c r="M60" s="223"/>
      <c r="N60" s="90"/>
      <c r="O60" s="132"/>
      <c r="P60" s="243"/>
      <c r="Q60" s="194"/>
    </row>
    <row r="61" spans="2:17" ht="38.25" customHeight="1" x14ac:dyDescent="0.2">
      <c r="B61" s="144"/>
      <c r="C61" s="96"/>
      <c r="D61" s="95" t="s">
        <v>107</v>
      </c>
      <c r="E61" s="103" t="s">
        <v>108</v>
      </c>
      <c r="F61" s="104">
        <v>1</v>
      </c>
      <c r="G61" s="105"/>
      <c r="H61" s="79" t="s">
        <v>19</v>
      </c>
      <c r="I61" s="11" t="s">
        <v>20</v>
      </c>
      <c r="J61" s="74">
        <v>24</v>
      </c>
      <c r="K61" s="122">
        <f>IF((J63="NA"),"NA",((J63*10)))</f>
        <v>7.5</v>
      </c>
      <c r="L61" s="80"/>
      <c r="M61" s="223"/>
      <c r="N61" s="90"/>
      <c r="O61" s="132"/>
      <c r="P61" s="243"/>
      <c r="Q61" s="192"/>
    </row>
    <row r="62" spans="2:17" ht="33.75" customHeight="1" x14ac:dyDescent="0.2">
      <c r="B62" s="144"/>
      <c r="C62" s="96"/>
      <c r="D62" s="96"/>
      <c r="E62" s="90"/>
      <c r="F62" s="105"/>
      <c r="G62" s="105"/>
      <c r="H62" s="80"/>
      <c r="I62" s="12" t="s">
        <v>24</v>
      </c>
      <c r="J62" s="75">
        <v>32</v>
      </c>
      <c r="K62" s="122"/>
      <c r="L62" s="80"/>
      <c r="M62" s="223"/>
      <c r="N62" s="90"/>
      <c r="O62" s="132"/>
      <c r="P62" s="243"/>
      <c r="Q62" s="193"/>
    </row>
    <row r="63" spans="2:17" ht="33.75" customHeight="1" x14ac:dyDescent="0.2">
      <c r="B63" s="144"/>
      <c r="C63" s="97"/>
      <c r="D63" s="97"/>
      <c r="E63" s="83"/>
      <c r="F63" s="105"/>
      <c r="G63" s="105"/>
      <c r="H63" s="81"/>
      <c r="I63" s="13" t="s">
        <v>87</v>
      </c>
      <c r="J63" s="6">
        <f>IF(AND(H61="Si"),(J61/J62),"NA")</f>
        <v>0.75</v>
      </c>
      <c r="K63" s="122"/>
      <c r="L63" s="80"/>
      <c r="M63" s="223"/>
      <c r="N63" s="90"/>
      <c r="O63" s="132"/>
      <c r="P63" s="243"/>
      <c r="Q63" s="194"/>
    </row>
    <row r="64" spans="2:17" ht="30.75" customHeight="1" x14ac:dyDescent="0.2">
      <c r="B64" s="144"/>
      <c r="C64" s="95" t="s">
        <v>109</v>
      </c>
      <c r="D64" s="95" t="s">
        <v>226</v>
      </c>
      <c r="E64" s="103" t="s">
        <v>227</v>
      </c>
      <c r="F64" s="104">
        <v>1</v>
      </c>
      <c r="G64" s="105"/>
      <c r="H64" s="79" t="s">
        <v>19</v>
      </c>
      <c r="I64" s="11" t="s">
        <v>20</v>
      </c>
      <c r="J64" s="74">
        <v>24</v>
      </c>
      <c r="K64" s="122">
        <f>IF((J66="NA"),"NA",((J66*10)))</f>
        <v>7.5</v>
      </c>
      <c r="L64" s="80"/>
      <c r="M64" s="223"/>
      <c r="N64" s="90"/>
      <c r="O64" s="132"/>
      <c r="P64" s="243"/>
      <c r="Q64" s="192"/>
    </row>
    <row r="65" spans="2:17" ht="30.75" customHeight="1" x14ac:dyDescent="0.2">
      <c r="B65" s="144"/>
      <c r="C65" s="96"/>
      <c r="D65" s="96"/>
      <c r="E65" s="90"/>
      <c r="F65" s="105"/>
      <c r="G65" s="105"/>
      <c r="H65" s="80"/>
      <c r="I65" s="12" t="s">
        <v>24</v>
      </c>
      <c r="J65" s="75">
        <v>32</v>
      </c>
      <c r="K65" s="122"/>
      <c r="L65" s="80"/>
      <c r="M65" s="223"/>
      <c r="N65" s="90"/>
      <c r="O65" s="132"/>
      <c r="P65" s="243"/>
      <c r="Q65" s="193"/>
    </row>
    <row r="66" spans="2:17" ht="30" customHeight="1" x14ac:dyDescent="0.2">
      <c r="B66" s="144"/>
      <c r="C66" s="96"/>
      <c r="D66" s="97"/>
      <c r="E66" s="83"/>
      <c r="F66" s="105"/>
      <c r="G66" s="105"/>
      <c r="H66" s="81"/>
      <c r="I66" s="13" t="s">
        <v>87</v>
      </c>
      <c r="J66" s="6">
        <f>IF(AND(H64="Si"),(J64/J65),"NA")</f>
        <v>0.75</v>
      </c>
      <c r="K66" s="122"/>
      <c r="L66" s="80"/>
      <c r="M66" s="223"/>
      <c r="N66" s="90"/>
      <c r="O66" s="132"/>
      <c r="P66" s="243"/>
      <c r="Q66" s="194"/>
    </row>
    <row r="67" spans="2:17" ht="30" customHeight="1" x14ac:dyDescent="0.2">
      <c r="B67" s="144"/>
      <c r="C67" s="96"/>
      <c r="D67" s="95" t="s">
        <v>110</v>
      </c>
      <c r="E67" s="103" t="s">
        <v>228</v>
      </c>
      <c r="F67" s="104">
        <v>1</v>
      </c>
      <c r="G67" s="105"/>
      <c r="H67" s="79" t="s">
        <v>19</v>
      </c>
      <c r="I67" s="11" t="s">
        <v>20</v>
      </c>
      <c r="J67" s="74">
        <v>24</v>
      </c>
      <c r="K67" s="122">
        <f>IF((J69="NA"),"NA",((J69*10)))</f>
        <v>7.741935483870968</v>
      </c>
      <c r="L67" s="80"/>
      <c r="M67" s="223"/>
      <c r="N67" s="90"/>
      <c r="O67" s="132"/>
      <c r="P67" s="243"/>
      <c r="Q67" s="192"/>
    </row>
    <row r="68" spans="2:17" ht="30" customHeight="1" x14ac:dyDescent="0.2">
      <c r="B68" s="144"/>
      <c r="C68" s="96"/>
      <c r="D68" s="96"/>
      <c r="E68" s="90"/>
      <c r="F68" s="105"/>
      <c r="G68" s="105"/>
      <c r="H68" s="80"/>
      <c r="I68" s="12" t="s">
        <v>24</v>
      </c>
      <c r="J68" s="75">
        <v>31</v>
      </c>
      <c r="K68" s="122"/>
      <c r="L68" s="80"/>
      <c r="M68" s="223"/>
      <c r="N68" s="90"/>
      <c r="O68" s="132"/>
      <c r="P68" s="243"/>
      <c r="Q68" s="193"/>
    </row>
    <row r="69" spans="2:17" ht="30" customHeight="1" x14ac:dyDescent="0.2">
      <c r="B69" s="144"/>
      <c r="C69" s="97"/>
      <c r="D69" s="97"/>
      <c r="E69" s="83"/>
      <c r="F69" s="105"/>
      <c r="G69" s="105"/>
      <c r="H69" s="81"/>
      <c r="I69" s="13" t="s">
        <v>87</v>
      </c>
      <c r="J69" s="6">
        <f>IF(AND(H67="Si"),(J67/J68),"NA")</f>
        <v>0.77419354838709675</v>
      </c>
      <c r="K69" s="122"/>
      <c r="L69" s="80"/>
      <c r="M69" s="223"/>
      <c r="N69" s="90"/>
      <c r="O69" s="132"/>
      <c r="P69" s="243"/>
      <c r="Q69" s="194"/>
    </row>
    <row r="70" spans="2:17" ht="29.25" customHeight="1" x14ac:dyDescent="0.2">
      <c r="B70" s="144"/>
      <c r="C70" s="95" t="s">
        <v>112</v>
      </c>
      <c r="D70" s="95" t="s">
        <v>229</v>
      </c>
      <c r="E70" s="103" t="s">
        <v>230</v>
      </c>
      <c r="F70" s="104">
        <v>1</v>
      </c>
      <c r="G70" s="105"/>
      <c r="H70" s="79" t="s">
        <v>19</v>
      </c>
      <c r="I70" s="11" t="s">
        <v>20</v>
      </c>
      <c r="J70" s="74">
        <v>31</v>
      </c>
      <c r="K70" s="122">
        <f>IF((J72="NA"),"NA",((J72*10)))</f>
        <v>9.6875</v>
      </c>
      <c r="L70" s="80"/>
      <c r="M70" s="223"/>
      <c r="N70" s="90"/>
      <c r="O70" s="132"/>
      <c r="P70" s="243"/>
      <c r="Q70" s="192"/>
    </row>
    <row r="71" spans="2:17" ht="32.25" customHeight="1" x14ac:dyDescent="0.2">
      <c r="B71" s="144"/>
      <c r="C71" s="96"/>
      <c r="D71" s="96"/>
      <c r="E71" s="90"/>
      <c r="F71" s="105"/>
      <c r="G71" s="105"/>
      <c r="H71" s="80"/>
      <c r="I71" s="12" t="s">
        <v>24</v>
      </c>
      <c r="J71" s="75">
        <v>32</v>
      </c>
      <c r="K71" s="122"/>
      <c r="L71" s="80"/>
      <c r="M71" s="223"/>
      <c r="N71" s="90"/>
      <c r="O71" s="132"/>
      <c r="P71" s="243"/>
      <c r="Q71" s="193"/>
    </row>
    <row r="72" spans="2:17" ht="30" customHeight="1" x14ac:dyDescent="0.2">
      <c r="B72" s="144"/>
      <c r="C72" s="96"/>
      <c r="D72" s="97"/>
      <c r="E72" s="83"/>
      <c r="F72" s="105"/>
      <c r="G72" s="105"/>
      <c r="H72" s="81"/>
      <c r="I72" s="13" t="s">
        <v>87</v>
      </c>
      <c r="J72" s="6">
        <f>IF(AND(H70="Si"),(J70/J71),"NA")</f>
        <v>0.96875</v>
      </c>
      <c r="K72" s="122"/>
      <c r="L72" s="80"/>
      <c r="M72" s="223"/>
      <c r="N72" s="90"/>
      <c r="O72" s="132"/>
      <c r="P72" s="243"/>
      <c r="Q72" s="194"/>
    </row>
    <row r="73" spans="2:17" ht="33.75" customHeight="1" x14ac:dyDescent="0.2">
      <c r="B73" s="144"/>
      <c r="C73" s="96"/>
      <c r="D73" s="95" t="s">
        <v>113</v>
      </c>
      <c r="E73" s="103" t="s">
        <v>231</v>
      </c>
      <c r="F73" s="171">
        <v>1</v>
      </c>
      <c r="G73" s="112"/>
      <c r="H73" s="79" t="s">
        <v>19</v>
      </c>
      <c r="I73" s="11" t="s">
        <v>20</v>
      </c>
      <c r="J73" s="74">
        <v>90</v>
      </c>
      <c r="K73" s="122">
        <f>IF((J75="NA"),"NA",((J75*10)))</f>
        <v>9.375</v>
      </c>
      <c r="L73" s="80"/>
      <c r="M73" s="223"/>
      <c r="N73" s="90"/>
      <c r="O73" s="132"/>
      <c r="P73" s="243"/>
      <c r="Q73" s="192"/>
    </row>
    <row r="74" spans="2:17" ht="30" customHeight="1" x14ac:dyDescent="0.2">
      <c r="B74" s="144"/>
      <c r="C74" s="96"/>
      <c r="D74" s="96"/>
      <c r="E74" s="90"/>
      <c r="F74" s="113"/>
      <c r="G74" s="114"/>
      <c r="H74" s="80"/>
      <c r="I74" s="12" t="s">
        <v>24</v>
      </c>
      <c r="J74" s="75">
        <v>96</v>
      </c>
      <c r="K74" s="122"/>
      <c r="L74" s="80"/>
      <c r="M74" s="223"/>
      <c r="N74" s="90"/>
      <c r="O74" s="132"/>
      <c r="P74" s="243"/>
      <c r="Q74" s="193"/>
    </row>
    <row r="75" spans="2:17" ht="30" customHeight="1" x14ac:dyDescent="0.2">
      <c r="B75" s="144"/>
      <c r="C75" s="96"/>
      <c r="D75" s="97"/>
      <c r="E75" s="83"/>
      <c r="F75" s="115"/>
      <c r="G75" s="116"/>
      <c r="H75" s="81"/>
      <c r="I75" s="13" t="s">
        <v>87</v>
      </c>
      <c r="J75" s="6">
        <f>IF(AND(H73="Si"),(J73/J74),"NA")</f>
        <v>0.9375</v>
      </c>
      <c r="K75" s="122"/>
      <c r="L75" s="80"/>
      <c r="M75" s="223"/>
      <c r="N75" s="90"/>
      <c r="O75" s="132"/>
      <c r="P75" s="243"/>
      <c r="Q75" s="194"/>
    </row>
    <row r="76" spans="2:17" ht="34.5" customHeight="1" x14ac:dyDescent="0.2">
      <c r="B76" s="144"/>
      <c r="C76" s="96"/>
      <c r="D76" s="95" t="s">
        <v>115</v>
      </c>
      <c r="E76" s="103" t="s">
        <v>232</v>
      </c>
      <c r="F76" s="171">
        <v>0</v>
      </c>
      <c r="G76" s="112"/>
      <c r="H76" s="79" t="s">
        <v>19</v>
      </c>
      <c r="I76" s="11" t="s">
        <v>20</v>
      </c>
      <c r="J76" s="74">
        <v>5</v>
      </c>
      <c r="K76" s="122">
        <f>IF((J78="NA"),"NA",(((1-J78)*10)))</f>
        <v>8.1481481481481488</v>
      </c>
      <c r="L76" s="80"/>
      <c r="M76" s="223"/>
      <c r="N76" s="90"/>
      <c r="O76" s="132"/>
      <c r="P76" s="243"/>
      <c r="Q76" s="192"/>
    </row>
    <row r="77" spans="2:17" ht="35.25" customHeight="1" x14ac:dyDescent="0.2">
      <c r="B77" s="144"/>
      <c r="C77" s="96"/>
      <c r="D77" s="96"/>
      <c r="E77" s="90"/>
      <c r="F77" s="113"/>
      <c r="G77" s="114"/>
      <c r="H77" s="80"/>
      <c r="I77" s="12" t="s">
        <v>24</v>
      </c>
      <c r="J77" s="75">
        <v>27</v>
      </c>
      <c r="K77" s="122"/>
      <c r="L77" s="80"/>
      <c r="M77" s="223"/>
      <c r="N77" s="90"/>
      <c r="O77" s="132"/>
      <c r="P77" s="243"/>
      <c r="Q77" s="193"/>
    </row>
    <row r="78" spans="2:17" ht="33.75" customHeight="1" x14ac:dyDescent="0.2">
      <c r="B78" s="144"/>
      <c r="C78" s="96"/>
      <c r="D78" s="97"/>
      <c r="E78" s="83"/>
      <c r="F78" s="115"/>
      <c r="G78" s="116"/>
      <c r="H78" s="81"/>
      <c r="I78" s="13" t="s">
        <v>87</v>
      </c>
      <c r="J78" s="6">
        <f>IF(AND(H76="Si"),((J76/J77)),"NA")</f>
        <v>0.18518518518518517</v>
      </c>
      <c r="K78" s="122"/>
      <c r="L78" s="80"/>
      <c r="M78" s="223"/>
      <c r="N78" s="90"/>
      <c r="O78" s="132"/>
      <c r="P78" s="243"/>
      <c r="Q78" s="194"/>
    </row>
    <row r="79" spans="2:17" ht="34.5" customHeight="1" x14ac:dyDescent="0.2">
      <c r="B79" s="144"/>
      <c r="C79" s="96"/>
      <c r="D79" s="95" t="s">
        <v>117</v>
      </c>
      <c r="E79" s="103" t="s">
        <v>233</v>
      </c>
      <c r="F79" s="171">
        <v>1</v>
      </c>
      <c r="G79" s="112"/>
      <c r="H79" s="79" t="s">
        <v>19</v>
      </c>
      <c r="I79" s="11" t="s">
        <v>20</v>
      </c>
      <c r="J79" s="74">
        <v>0</v>
      </c>
      <c r="K79" s="122">
        <f>IF((J81="NA"),"NA",((J81*10)))</f>
        <v>0</v>
      </c>
      <c r="L79" s="80"/>
      <c r="M79" s="223"/>
      <c r="N79" s="90"/>
      <c r="O79" s="132"/>
      <c r="P79" s="243"/>
      <c r="Q79" s="192"/>
    </row>
    <row r="80" spans="2:17" ht="34.5" customHeight="1" x14ac:dyDescent="0.2">
      <c r="B80" s="144"/>
      <c r="C80" s="96"/>
      <c r="D80" s="96"/>
      <c r="E80" s="90"/>
      <c r="F80" s="113"/>
      <c r="G80" s="114"/>
      <c r="H80" s="80"/>
      <c r="I80" s="12" t="s">
        <v>24</v>
      </c>
      <c r="J80" s="75">
        <v>1</v>
      </c>
      <c r="K80" s="122"/>
      <c r="L80" s="80"/>
      <c r="M80" s="223"/>
      <c r="N80" s="90"/>
      <c r="O80" s="132"/>
      <c r="P80" s="243"/>
      <c r="Q80" s="193"/>
    </row>
    <row r="81" spans="2:18" ht="34.5" customHeight="1" x14ac:dyDescent="0.2">
      <c r="B81" s="144"/>
      <c r="C81" s="97"/>
      <c r="D81" s="97"/>
      <c r="E81" s="83"/>
      <c r="F81" s="115"/>
      <c r="G81" s="116"/>
      <c r="H81" s="81"/>
      <c r="I81" s="13" t="s">
        <v>87</v>
      </c>
      <c r="J81" s="6">
        <f>IF(AND(H79="Si"),(J79/J80),"NA")</f>
        <v>0</v>
      </c>
      <c r="K81" s="122"/>
      <c r="L81" s="80"/>
      <c r="M81" s="223"/>
      <c r="N81" s="90"/>
      <c r="O81" s="132"/>
      <c r="P81" s="243"/>
      <c r="Q81" s="194"/>
    </row>
    <row r="82" spans="2:18" ht="34.5" customHeight="1" x14ac:dyDescent="0.2">
      <c r="B82" s="144"/>
      <c r="C82" s="96" t="s">
        <v>119</v>
      </c>
      <c r="D82" s="95" t="s">
        <v>120</v>
      </c>
      <c r="E82" s="103" t="s">
        <v>121</v>
      </c>
      <c r="F82" s="171">
        <v>1</v>
      </c>
      <c r="G82" s="112"/>
      <c r="H82" s="79" t="s">
        <v>19</v>
      </c>
      <c r="I82" s="11" t="s">
        <v>20</v>
      </c>
      <c r="J82" s="74">
        <v>5</v>
      </c>
      <c r="K82" s="122">
        <f>IF((J84="NA"),"NA",((J84*10)))</f>
        <v>7.1428571428571432</v>
      </c>
      <c r="L82" s="80"/>
      <c r="M82" s="223"/>
      <c r="N82" s="90"/>
      <c r="O82" s="132"/>
      <c r="P82" s="243"/>
      <c r="Q82" s="192"/>
      <c r="R82" s="56"/>
    </row>
    <row r="83" spans="2:18" ht="34.5" customHeight="1" x14ac:dyDescent="0.2">
      <c r="B83" s="144"/>
      <c r="C83" s="96"/>
      <c r="D83" s="96"/>
      <c r="E83" s="90"/>
      <c r="F83" s="113"/>
      <c r="G83" s="114"/>
      <c r="H83" s="80"/>
      <c r="I83" s="12" t="s">
        <v>24</v>
      </c>
      <c r="J83" s="75">
        <v>7</v>
      </c>
      <c r="K83" s="122"/>
      <c r="L83" s="80"/>
      <c r="M83" s="223"/>
      <c r="N83" s="90"/>
      <c r="O83" s="132"/>
      <c r="P83" s="243"/>
      <c r="Q83" s="193"/>
      <c r="R83" s="56"/>
    </row>
    <row r="84" spans="2:18" ht="34.5" customHeight="1" x14ac:dyDescent="0.2">
      <c r="B84" s="144"/>
      <c r="C84" s="96"/>
      <c r="D84" s="97"/>
      <c r="E84" s="83"/>
      <c r="F84" s="115"/>
      <c r="G84" s="116"/>
      <c r="H84" s="81"/>
      <c r="I84" s="13" t="s">
        <v>87</v>
      </c>
      <c r="J84" s="6">
        <f>IF(AND(H82="Si"),(J82/J83),"NA")</f>
        <v>0.7142857142857143</v>
      </c>
      <c r="K84" s="122"/>
      <c r="L84" s="80"/>
      <c r="M84" s="223"/>
      <c r="N84" s="90"/>
      <c r="O84" s="132"/>
      <c r="P84" s="243"/>
      <c r="Q84" s="194"/>
      <c r="R84" s="56"/>
    </row>
    <row r="85" spans="2:18" ht="34.5" customHeight="1" x14ac:dyDescent="0.2">
      <c r="B85" s="144"/>
      <c r="C85" s="96"/>
      <c r="D85" s="95" t="s">
        <v>122</v>
      </c>
      <c r="E85" s="103" t="s">
        <v>234</v>
      </c>
      <c r="F85" s="171">
        <v>1</v>
      </c>
      <c r="G85" s="112"/>
      <c r="H85" s="79" t="s">
        <v>19</v>
      </c>
      <c r="I85" s="11" t="s">
        <v>20</v>
      </c>
      <c r="J85" s="74">
        <v>3</v>
      </c>
      <c r="K85" s="122">
        <f>IF((J87="NA"),"NA",((J87*10)))</f>
        <v>6</v>
      </c>
      <c r="L85" s="80"/>
      <c r="M85" s="223"/>
      <c r="N85" s="90"/>
      <c r="O85" s="132"/>
      <c r="P85" s="243"/>
      <c r="Q85" s="192"/>
    </row>
    <row r="86" spans="2:18" ht="34.5" customHeight="1" x14ac:dyDescent="0.2">
      <c r="B86" s="144"/>
      <c r="C86" s="96"/>
      <c r="D86" s="96"/>
      <c r="E86" s="90"/>
      <c r="F86" s="113"/>
      <c r="G86" s="114"/>
      <c r="H86" s="80"/>
      <c r="I86" s="12" t="s">
        <v>24</v>
      </c>
      <c r="J86" s="75">
        <v>5</v>
      </c>
      <c r="K86" s="122"/>
      <c r="L86" s="80"/>
      <c r="M86" s="223"/>
      <c r="N86" s="90"/>
      <c r="O86" s="132"/>
      <c r="P86" s="243"/>
      <c r="Q86" s="193"/>
    </row>
    <row r="87" spans="2:18" ht="44.25" customHeight="1" x14ac:dyDescent="0.2">
      <c r="B87" s="144"/>
      <c r="C87" s="97"/>
      <c r="D87" s="97"/>
      <c r="E87" s="83"/>
      <c r="F87" s="115"/>
      <c r="G87" s="116"/>
      <c r="H87" s="81"/>
      <c r="I87" s="13" t="s">
        <v>87</v>
      </c>
      <c r="J87" s="6">
        <f>IF(AND(H85="Si"),(J85/J86),"NA")</f>
        <v>0.6</v>
      </c>
      <c r="K87" s="122"/>
      <c r="L87" s="80"/>
      <c r="M87" s="223"/>
      <c r="N87" s="90"/>
      <c r="O87" s="132"/>
      <c r="P87" s="243"/>
      <c r="Q87" s="194"/>
    </row>
    <row r="88" spans="2:18" ht="34.5" customHeight="1" x14ac:dyDescent="0.2">
      <c r="B88" s="144"/>
      <c r="C88" s="95" t="s">
        <v>124</v>
      </c>
      <c r="D88" s="95" t="s">
        <v>125</v>
      </c>
      <c r="E88" s="103" t="s">
        <v>126</v>
      </c>
      <c r="F88" s="171">
        <v>1</v>
      </c>
      <c r="G88" s="112"/>
      <c r="H88" s="79" t="s">
        <v>19</v>
      </c>
      <c r="I88" s="11" t="s">
        <v>20</v>
      </c>
      <c r="J88" s="74">
        <v>0</v>
      </c>
      <c r="K88" s="122">
        <f>IF((J90="NA"),"NA",((J90*10)))</f>
        <v>0</v>
      </c>
      <c r="L88" s="80"/>
      <c r="M88" s="223"/>
      <c r="N88" s="90"/>
      <c r="O88" s="132"/>
      <c r="P88" s="243"/>
      <c r="Q88" s="192"/>
    </row>
    <row r="89" spans="2:18" ht="34.5" customHeight="1" x14ac:dyDescent="0.2">
      <c r="B89" s="144"/>
      <c r="C89" s="96"/>
      <c r="D89" s="96"/>
      <c r="E89" s="90"/>
      <c r="F89" s="113"/>
      <c r="G89" s="114"/>
      <c r="H89" s="80"/>
      <c r="I89" s="12" t="s">
        <v>24</v>
      </c>
      <c r="J89" s="75">
        <v>20</v>
      </c>
      <c r="K89" s="122"/>
      <c r="L89" s="80"/>
      <c r="M89" s="223"/>
      <c r="N89" s="90"/>
      <c r="O89" s="132"/>
      <c r="P89" s="243"/>
      <c r="Q89" s="193"/>
    </row>
    <row r="90" spans="2:18" ht="34.5" customHeight="1" x14ac:dyDescent="0.2">
      <c r="B90" s="144"/>
      <c r="C90" s="97"/>
      <c r="D90" s="97"/>
      <c r="E90" s="83"/>
      <c r="F90" s="115"/>
      <c r="G90" s="116"/>
      <c r="H90" s="81"/>
      <c r="I90" s="13" t="s">
        <v>87</v>
      </c>
      <c r="J90" s="6">
        <f>IF(AND(H88="Si"),(J88/J89),"NA")</f>
        <v>0</v>
      </c>
      <c r="K90" s="122"/>
      <c r="L90" s="80"/>
      <c r="M90" s="223"/>
      <c r="N90" s="90"/>
      <c r="O90" s="132"/>
      <c r="P90" s="243"/>
      <c r="Q90" s="194"/>
    </row>
    <row r="91" spans="2:18" ht="34.5" customHeight="1" x14ac:dyDescent="0.2">
      <c r="B91" s="144"/>
      <c r="C91" s="95" t="s">
        <v>127</v>
      </c>
      <c r="D91" s="95" t="s">
        <v>128</v>
      </c>
      <c r="E91" s="103" t="s">
        <v>235</v>
      </c>
      <c r="F91" s="171">
        <v>1</v>
      </c>
      <c r="G91" s="112"/>
      <c r="H91" s="79" t="s">
        <v>19</v>
      </c>
      <c r="I91" s="11" t="s">
        <v>20</v>
      </c>
      <c r="J91" s="74">
        <v>0</v>
      </c>
      <c r="K91" s="122">
        <f>IF((J93="NA"),"NA",((J93*10)))</f>
        <v>0</v>
      </c>
      <c r="L91" s="80"/>
      <c r="M91" s="223"/>
      <c r="N91" s="90"/>
      <c r="O91" s="132"/>
      <c r="P91" s="243"/>
      <c r="Q91" s="192"/>
    </row>
    <row r="92" spans="2:18" ht="34.5" customHeight="1" x14ac:dyDescent="0.2">
      <c r="B92" s="144"/>
      <c r="C92" s="96"/>
      <c r="D92" s="96"/>
      <c r="E92" s="90"/>
      <c r="F92" s="113"/>
      <c r="G92" s="114"/>
      <c r="H92" s="80"/>
      <c r="I92" s="12" t="s">
        <v>24</v>
      </c>
      <c r="J92" s="75">
        <v>20</v>
      </c>
      <c r="K92" s="122"/>
      <c r="L92" s="80"/>
      <c r="M92" s="223"/>
      <c r="N92" s="90"/>
      <c r="O92" s="132"/>
      <c r="P92" s="243"/>
      <c r="Q92" s="193"/>
    </row>
    <row r="93" spans="2:18" ht="34.5" customHeight="1" x14ac:dyDescent="0.2">
      <c r="B93" s="145"/>
      <c r="C93" s="97"/>
      <c r="D93" s="97"/>
      <c r="E93" s="83"/>
      <c r="F93" s="115"/>
      <c r="G93" s="116"/>
      <c r="H93" s="81"/>
      <c r="I93" s="13" t="s">
        <v>87</v>
      </c>
      <c r="J93" s="6">
        <f>IF(AND(H91="Si"),(J91/J92),"NA")</f>
        <v>0</v>
      </c>
      <c r="K93" s="122"/>
      <c r="L93" s="81"/>
      <c r="M93" s="224"/>
      <c r="N93" s="83"/>
      <c r="O93" s="133"/>
      <c r="P93" s="243"/>
      <c r="Q93" s="194"/>
    </row>
    <row r="94" spans="2:18" ht="5.25" customHeight="1" x14ac:dyDescent="0.2">
      <c r="B94" s="92"/>
      <c r="C94" s="93"/>
      <c r="D94" s="93"/>
      <c r="E94" s="93"/>
      <c r="F94" s="93"/>
      <c r="G94" s="93"/>
      <c r="H94" s="93"/>
      <c r="I94" s="93"/>
      <c r="J94" s="93"/>
      <c r="K94" s="93"/>
      <c r="L94" s="93"/>
      <c r="M94" s="93"/>
      <c r="N94" s="93"/>
      <c r="O94" s="93"/>
      <c r="P94" s="243"/>
      <c r="Q94" s="70"/>
    </row>
    <row r="95" spans="2:18" ht="30.75" customHeight="1" x14ac:dyDescent="0.2">
      <c r="B95" s="172" t="s">
        <v>130</v>
      </c>
      <c r="C95" s="95" t="s">
        <v>131</v>
      </c>
      <c r="D95" s="95" t="s">
        <v>132</v>
      </c>
      <c r="E95" s="103" t="s">
        <v>133</v>
      </c>
      <c r="F95" s="171">
        <v>1</v>
      </c>
      <c r="G95" s="112"/>
      <c r="H95" s="79" t="s">
        <v>19</v>
      </c>
      <c r="I95" s="11" t="s">
        <v>20</v>
      </c>
      <c r="J95" s="74">
        <v>0</v>
      </c>
      <c r="K95" s="122">
        <f>IF((J97="NA"),"NA",((J97*10)))</f>
        <v>0</v>
      </c>
      <c r="L95" s="106">
        <f>IF(AND(H95="No",H98="No",H101="No",H104="No",H107="No",H110="No"),0,AVERAGE(K95:K111))</f>
        <v>3.333333333333333</v>
      </c>
      <c r="M95" s="222" t="s">
        <v>40</v>
      </c>
      <c r="N95" s="84">
        <v>0.1</v>
      </c>
      <c r="O95" s="131">
        <f>L95*N95</f>
        <v>0.33333333333333331</v>
      </c>
      <c r="P95" s="243"/>
      <c r="Q95" s="192"/>
    </row>
    <row r="96" spans="2:18" ht="32.25" customHeight="1" x14ac:dyDescent="0.2">
      <c r="B96" s="172"/>
      <c r="C96" s="96"/>
      <c r="D96" s="96"/>
      <c r="E96" s="90"/>
      <c r="F96" s="113"/>
      <c r="G96" s="114"/>
      <c r="H96" s="80"/>
      <c r="I96" s="12" t="s">
        <v>24</v>
      </c>
      <c r="J96" s="75">
        <v>1</v>
      </c>
      <c r="K96" s="122"/>
      <c r="L96" s="80"/>
      <c r="M96" s="223"/>
      <c r="N96" s="90"/>
      <c r="O96" s="132"/>
      <c r="P96" s="243"/>
      <c r="Q96" s="193"/>
    </row>
    <row r="97" spans="2:17" ht="33" customHeight="1" x14ac:dyDescent="0.2">
      <c r="B97" s="172"/>
      <c r="C97" s="96"/>
      <c r="D97" s="97"/>
      <c r="E97" s="83"/>
      <c r="F97" s="115"/>
      <c r="G97" s="116"/>
      <c r="H97" s="81"/>
      <c r="I97" s="13" t="s">
        <v>87</v>
      </c>
      <c r="J97" s="6">
        <f>IF(AND(H95="Si"),(J95/J96),"NA")</f>
        <v>0</v>
      </c>
      <c r="K97" s="122"/>
      <c r="L97" s="80"/>
      <c r="M97" s="223"/>
      <c r="N97" s="90"/>
      <c r="O97" s="132"/>
      <c r="P97" s="243"/>
      <c r="Q97" s="194"/>
    </row>
    <row r="98" spans="2:17" ht="40.5" customHeight="1" x14ac:dyDescent="0.2">
      <c r="B98" s="172"/>
      <c r="C98" s="96"/>
      <c r="D98" s="95" t="s">
        <v>135</v>
      </c>
      <c r="E98" s="103" t="s">
        <v>136</v>
      </c>
      <c r="F98" s="171">
        <v>1</v>
      </c>
      <c r="G98" s="112"/>
      <c r="H98" s="79" t="s">
        <v>19</v>
      </c>
      <c r="I98" s="11" t="s">
        <v>20</v>
      </c>
      <c r="J98" s="74">
        <v>1</v>
      </c>
      <c r="K98" s="234">
        <f>IF((J100="NA"),"NA",((J100*10)))</f>
        <v>10</v>
      </c>
      <c r="L98" s="80"/>
      <c r="M98" s="223"/>
      <c r="N98" s="90"/>
      <c r="O98" s="132"/>
      <c r="P98" s="243"/>
      <c r="Q98" s="192"/>
    </row>
    <row r="99" spans="2:17" ht="36.75" customHeight="1" x14ac:dyDescent="0.2">
      <c r="B99" s="172"/>
      <c r="C99" s="96"/>
      <c r="D99" s="96"/>
      <c r="E99" s="90"/>
      <c r="F99" s="113"/>
      <c r="G99" s="114"/>
      <c r="H99" s="80"/>
      <c r="I99" s="12" t="s">
        <v>24</v>
      </c>
      <c r="J99" s="75">
        <v>1</v>
      </c>
      <c r="K99" s="235"/>
      <c r="L99" s="80"/>
      <c r="M99" s="223"/>
      <c r="N99" s="90"/>
      <c r="O99" s="132"/>
      <c r="P99" s="243"/>
      <c r="Q99" s="193"/>
    </row>
    <row r="100" spans="2:17" ht="43.5" customHeight="1" x14ac:dyDescent="0.2">
      <c r="B100" s="172"/>
      <c r="C100" s="97"/>
      <c r="D100" s="97"/>
      <c r="E100" s="83"/>
      <c r="F100" s="115"/>
      <c r="G100" s="116"/>
      <c r="H100" s="81"/>
      <c r="I100" s="13" t="s">
        <v>87</v>
      </c>
      <c r="J100" s="6">
        <f>IF(AND(H98="Si"),(J98/J99),"NA")</f>
        <v>1</v>
      </c>
      <c r="K100" s="236"/>
      <c r="L100" s="80"/>
      <c r="M100" s="223"/>
      <c r="N100" s="90"/>
      <c r="O100" s="132"/>
      <c r="P100" s="243"/>
      <c r="Q100" s="194"/>
    </row>
    <row r="101" spans="2:17" ht="33" customHeight="1" x14ac:dyDescent="0.2">
      <c r="B101" s="172"/>
      <c r="C101" s="95" t="s">
        <v>137</v>
      </c>
      <c r="D101" s="95" t="s">
        <v>138</v>
      </c>
      <c r="E101" s="103" t="s">
        <v>139</v>
      </c>
      <c r="F101" s="171">
        <v>0</v>
      </c>
      <c r="G101" s="112"/>
      <c r="H101" s="79" t="s">
        <v>19</v>
      </c>
      <c r="I101" s="11" t="s">
        <v>20</v>
      </c>
      <c r="J101" s="74">
        <v>1</v>
      </c>
      <c r="K101" s="122">
        <f>IF((J103="NA"),"NA",(((1-J103)*10)))</f>
        <v>0</v>
      </c>
      <c r="L101" s="80"/>
      <c r="M101" s="223"/>
      <c r="N101" s="90"/>
      <c r="O101" s="132"/>
      <c r="P101" s="243"/>
      <c r="Q101" s="192"/>
    </row>
    <row r="102" spans="2:17" ht="33" customHeight="1" x14ac:dyDescent="0.2">
      <c r="B102" s="172"/>
      <c r="C102" s="96"/>
      <c r="D102" s="96"/>
      <c r="E102" s="90"/>
      <c r="F102" s="113"/>
      <c r="G102" s="114"/>
      <c r="H102" s="80"/>
      <c r="I102" s="12" t="s">
        <v>24</v>
      </c>
      <c r="J102" s="75">
        <v>1</v>
      </c>
      <c r="K102" s="122"/>
      <c r="L102" s="80"/>
      <c r="M102" s="223"/>
      <c r="N102" s="90"/>
      <c r="O102" s="132"/>
      <c r="P102" s="243"/>
      <c r="Q102" s="193"/>
    </row>
    <row r="103" spans="2:17" ht="33" customHeight="1" x14ac:dyDescent="0.2">
      <c r="B103" s="172"/>
      <c r="C103" s="97"/>
      <c r="D103" s="97"/>
      <c r="E103" s="83"/>
      <c r="F103" s="115"/>
      <c r="G103" s="116"/>
      <c r="H103" s="81"/>
      <c r="I103" s="13" t="s">
        <v>87</v>
      </c>
      <c r="J103" s="6">
        <f>IF(AND(H101="Si"),((J101/J102)),"NA")</f>
        <v>1</v>
      </c>
      <c r="K103" s="122"/>
      <c r="L103" s="80"/>
      <c r="M103" s="223"/>
      <c r="N103" s="90"/>
      <c r="O103" s="132"/>
      <c r="P103" s="243"/>
      <c r="Q103" s="194"/>
    </row>
    <row r="104" spans="2:17" ht="33" customHeight="1" x14ac:dyDescent="0.2">
      <c r="B104" s="172"/>
      <c r="C104" s="100" t="s">
        <v>140</v>
      </c>
      <c r="D104" s="100" t="s">
        <v>141</v>
      </c>
      <c r="E104" s="103" t="s">
        <v>142</v>
      </c>
      <c r="F104" s="171">
        <v>1</v>
      </c>
      <c r="G104" s="112"/>
      <c r="H104" s="79" t="s">
        <v>29</v>
      </c>
      <c r="I104" s="11" t="s">
        <v>20</v>
      </c>
      <c r="J104" s="74">
        <v>0</v>
      </c>
      <c r="K104" s="234" t="str">
        <f>IF((J106="NA"),"NA",((J106*10)))</f>
        <v>NA</v>
      </c>
      <c r="L104" s="80"/>
      <c r="M104" s="223"/>
      <c r="N104" s="90"/>
      <c r="O104" s="132"/>
      <c r="P104" s="243"/>
      <c r="Q104" s="192" t="s">
        <v>143</v>
      </c>
    </row>
    <row r="105" spans="2:17" ht="30.75" customHeight="1" x14ac:dyDescent="0.2">
      <c r="B105" s="172"/>
      <c r="C105" s="101"/>
      <c r="D105" s="101"/>
      <c r="E105" s="90"/>
      <c r="F105" s="113"/>
      <c r="G105" s="114"/>
      <c r="H105" s="80"/>
      <c r="I105" s="12" t="s">
        <v>24</v>
      </c>
      <c r="J105" s="75">
        <v>1</v>
      </c>
      <c r="K105" s="235"/>
      <c r="L105" s="80"/>
      <c r="M105" s="223"/>
      <c r="N105" s="90"/>
      <c r="O105" s="132"/>
      <c r="P105" s="243"/>
      <c r="Q105" s="193"/>
    </row>
    <row r="106" spans="2:17" ht="27" customHeight="1" x14ac:dyDescent="0.2">
      <c r="B106" s="172"/>
      <c r="C106" s="102"/>
      <c r="D106" s="102"/>
      <c r="E106" s="83"/>
      <c r="F106" s="115"/>
      <c r="G106" s="116"/>
      <c r="H106" s="81"/>
      <c r="I106" s="13" t="s">
        <v>87</v>
      </c>
      <c r="J106" s="6" t="str">
        <f>IF(AND(H104="Si"),(J104/J105),"NA")</f>
        <v>NA</v>
      </c>
      <c r="K106" s="236"/>
      <c r="L106" s="80"/>
      <c r="M106" s="223"/>
      <c r="N106" s="90"/>
      <c r="O106" s="132"/>
      <c r="P106" s="243"/>
      <c r="Q106" s="194"/>
    </row>
    <row r="107" spans="2:17" ht="27" customHeight="1" x14ac:dyDescent="0.2">
      <c r="B107" s="172"/>
      <c r="C107" s="100" t="s">
        <v>144</v>
      </c>
      <c r="D107" s="100" t="s">
        <v>145</v>
      </c>
      <c r="E107" s="161" t="s">
        <v>146</v>
      </c>
      <c r="F107" s="171">
        <v>1</v>
      </c>
      <c r="G107" s="112"/>
      <c r="H107" s="79" t="s">
        <v>29</v>
      </c>
      <c r="I107" s="11" t="s">
        <v>20</v>
      </c>
      <c r="J107" s="74"/>
      <c r="K107" s="234" t="str">
        <f>IF((J109="NA"),"NA",((J109*10)))</f>
        <v>NA</v>
      </c>
      <c r="L107" s="80"/>
      <c r="M107" s="223"/>
      <c r="N107" s="90"/>
      <c r="O107" s="132"/>
      <c r="P107" s="243"/>
      <c r="Q107" s="192" t="s">
        <v>147</v>
      </c>
    </row>
    <row r="108" spans="2:17" ht="30.75" customHeight="1" x14ac:dyDescent="0.2">
      <c r="B108" s="172"/>
      <c r="C108" s="101"/>
      <c r="D108" s="101"/>
      <c r="E108" s="162"/>
      <c r="F108" s="113"/>
      <c r="G108" s="114"/>
      <c r="H108" s="80"/>
      <c r="I108" s="12" t="s">
        <v>24</v>
      </c>
      <c r="J108" s="75"/>
      <c r="K108" s="235"/>
      <c r="L108" s="80"/>
      <c r="M108" s="223"/>
      <c r="N108" s="90"/>
      <c r="O108" s="132"/>
      <c r="P108" s="243"/>
      <c r="Q108" s="193"/>
    </row>
    <row r="109" spans="2:17" ht="31.5" customHeight="1" x14ac:dyDescent="0.2">
      <c r="B109" s="172"/>
      <c r="C109" s="102"/>
      <c r="D109" s="102"/>
      <c r="E109" s="163"/>
      <c r="F109" s="115"/>
      <c r="G109" s="116"/>
      <c r="H109" s="81"/>
      <c r="I109" s="13" t="s">
        <v>87</v>
      </c>
      <c r="J109" s="6" t="str">
        <f>IF(AND(H107="Si"),(J107/J108),"NA")</f>
        <v>NA</v>
      </c>
      <c r="K109" s="236"/>
      <c r="L109" s="80"/>
      <c r="M109" s="223"/>
      <c r="N109" s="90"/>
      <c r="O109" s="132"/>
      <c r="P109" s="243"/>
      <c r="Q109" s="194"/>
    </row>
    <row r="110" spans="2:17" ht="23.25" customHeight="1" x14ac:dyDescent="0.2">
      <c r="B110" s="172"/>
      <c r="C110" s="95" t="s">
        <v>148</v>
      </c>
      <c r="D110" s="95" t="s">
        <v>149</v>
      </c>
      <c r="E110" s="117" t="s">
        <v>150</v>
      </c>
      <c r="F110" s="173" t="s">
        <v>151</v>
      </c>
      <c r="G110" s="174"/>
      <c r="H110" s="82" t="s">
        <v>19</v>
      </c>
      <c r="I110" s="11" t="s">
        <v>20</v>
      </c>
      <c r="J110" s="74">
        <v>1</v>
      </c>
      <c r="K110" s="106">
        <f>IF((J111="NA"),"NA",IF(J111&gt;3,10,((J111/3)*10)))</f>
        <v>3.333333333333333</v>
      </c>
      <c r="L110" s="80"/>
      <c r="M110" s="223"/>
      <c r="N110" s="90"/>
      <c r="O110" s="132"/>
      <c r="P110" s="243"/>
      <c r="Q110" s="192"/>
    </row>
    <row r="111" spans="2:17" ht="24.75" customHeight="1" x14ac:dyDescent="0.2">
      <c r="B111" s="172"/>
      <c r="C111" s="96"/>
      <c r="D111" s="96"/>
      <c r="E111" s="170"/>
      <c r="F111" s="175"/>
      <c r="G111" s="176"/>
      <c r="H111" s="83"/>
      <c r="I111" s="12" t="s">
        <v>26</v>
      </c>
      <c r="J111" s="27">
        <f>IF(H110="Si",(J110),"NA")</f>
        <v>1</v>
      </c>
      <c r="K111" s="107"/>
      <c r="L111" s="81"/>
      <c r="M111" s="224"/>
      <c r="N111" s="83"/>
      <c r="O111" s="133"/>
      <c r="P111" s="243"/>
      <c r="Q111" s="194"/>
    </row>
    <row r="112" spans="2:17" ht="5.25" customHeight="1" x14ac:dyDescent="0.2">
      <c r="B112" s="92"/>
      <c r="C112" s="93"/>
      <c r="D112" s="93"/>
      <c r="E112" s="93"/>
      <c r="F112" s="93"/>
      <c r="G112" s="93"/>
      <c r="H112" s="93"/>
      <c r="I112" s="93"/>
      <c r="J112" s="93"/>
      <c r="K112" s="93"/>
      <c r="L112" s="93"/>
      <c r="M112" s="93"/>
      <c r="N112" s="93"/>
      <c r="O112" s="93"/>
      <c r="P112" s="243"/>
      <c r="Q112" s="70"/>
    </row>
    <row r="113" spans="2:17" ht="30" customHeight="1" x14ac:dyDescent="0.2">
      <c r="B113" s="172" t="s">
        <v>153</v>
      </c>
      <c r="C113" s="100" t="s">
        <v>154</v>
      </c>
      <c r="D113" s="100" t="s">
        <v>155</v>
      </c>
      <c r="E113" s="103" t="s">
        <v>156</v>
      </c>
      <c r="F113" s="171">
        <v>1</v>
      </c>
      <c r="G113" s="112"/>
      <c r="H113" s="79" t="s">
        <v>29</v>
      </c>
      <c r="I113" s="11" t="s">
        <v>20</v>
      </c>
      <c r="J113" s="74"/>
      <c r="K113" s="234" t="str">
        <f>IF((J115="NA"),"NA",((J115*10)))</f>
        <v>NA</v>
      </c>
      <c r="L113" s="106">
        <f>IF(AND(H113="No",H116="No",H119="No"),0,AVERAGE(K113:K121))</f>
        <v>0</v>
      </c>
      <c r="M113" s="222" t="s">
        <v>134</v>
      </c>
      <c r="N113" s="84">
        <v>0.05</v>
      </c>
      <c r="O113" s="239">
        <f>L113*N113</f>
        <v>0</v>
      </c>
      <c r="P113" s="243"/>
      <c r="Q113" s="192" t="s">
        <v>157</v>
      </c>
    </row>
    <row r="114" spans="2:17" ht="28.5" customHeight="1" x14ac:dyDescent="0.2">
      <c r="B114" s="172"/>
      <c r="C114" s="101"/>
      <c r="D114" s="101"/>
      <c r="E114" s="90"/>
      <c r="F114" s="113"/>
      <c r="G114" s="114"/>
      <c r="H114" s="80"/>
      <c r="I114" s="12" t="s">
        <v>24</v>
      </c>
      <c r="J114" s="75"/>
      <c r="K114" s="235"/>
      <c r="L114" s="80"/>
      <c r="M114" s="223"/>
      <c r="N114" s="90"/>
      <c r="O114" s="240"/>
      <c r="P114" s="243"/>
      <c r="Q114" s="193"/>
    </row>
    <row r="115" spans="2:17" ht="30.75" customHeight="1" x14ac:dyDescent="0.2">
      <c r="B115" s="172"/>
      <c r="C115" s="102"/>
      <c r="D115" s="102"/>
      <c r="E115" s="83"/>
      <c r="F115" s="115"/>
      <c r="G115" s="116"/>
      <c r="H115" s="81"/>
      <c r="I115" s="13" t="s">
        <v>87</v>
      </c>
      <c r="J115" s="6" t="str">
        <f>IF(AND(H113="Si"),(J113/J114),"NA")</f>
        <v>NA</v>
      </c>
      <c r="K115" s="236"/>
      <c r="L115" s="80"/>
      <c r="M115" s="223"/>
      <c r="N115" s="90"/>
      <c r="O115" s="240"/>
      <c r="P115" s="243"/>
      <c r="Q115" s="194"/>
    </row>
    <row r="116" spans="2:17" ht="26.25" customHeight="1" x14ac:dyDescent="0.2">
      <c r="B116" s="172"/>
      <c r="C116" s="100" t="s">
        <v>158</v>
      </c>
      <c r="D116" s="100" t="s">
        <v>159</v>
      </c>
      <c r="E116" s="103" t="s">
        <v>160</v>
      </c>
      <c r="F116" s="171">
        <v>1</v>
      </c>
      <c r="G116" s="112"/>
      <c r="H116" s="79" t="s">
        <v>29</v>
      </c>
      <c r="I116" s="11" t="s">
        <v>20</v>
      </c>
      <c r="J116" s="74"/>
      <c r="K116" s="234" t="str">
        <f>IF((J118="NA"),"NA",((J118*10)))</f>
        <v>NA</v>
      </c>
      <c r="L116" s="80"/>
      <c r="M116" s="223"/>
      <c r="N116" s="90"/>
      <c r="O116" s="240"/>
      <c r="P116" s="243"/>
      <c r="Q116" s="192" t="s">
        <v>161</v>
      </c>
    </row>
    <row r="117" spans="2:17" ht="26.25" customHeight="1" x14ac:dyDescent="0.2">
      <c r="B117" s="172"/>
      <c r="C117" s="101"/>
      <c r="D117" s="101"/>
      <c r="E117" s="90"/>
      <c r="F117" s="113"/>
      <c r="G117" s="114"/>
      <c r="H117" s="80"/>
      <c r="I117" s="12" t="s">
        <v>24</v>
      </c>
      <c r="J117" s="75"/>
      <c r="K117" s="235"/>
      <c r="L117" s="80"/>
      <c r="M117" s="223"/>
      <c r="N117" s="90"/>
      <c r="O117" s="240"/>
      <c r="P117" s="243"/>
      <c r="Q117" s="193"/>
    </row>
    <row r="118" spans="2:17" ht="30.75" customHeight="1" x14ac:dyDescent="0.2">
      <c r="B118" s="172"/>
      <c r="C118" s="101"/>
      <c r="D118" s="102"/>
      <c r="E118" s="83"/>
      <c r="F118" s="115"/>
      <c r="G118" s="116"/>
      <c r="H118" s="81"/>
      <c r="I118" s="13" t="s">
        <v>87</v>
      </c>
      <c r="J118" s="6" t="str">
        <f>IF(AND(H116="Si"),(J116/J117),"NA")</f>
        <v>NA</v>
      </c>
      <c r="K118" s="236"/>
      <c r="L118" s="80"/>
      <c r="M118" s="223"/>
      <c r="N118" s="90"/>
      <c r="O118" s="240"/>
      <c r="P118" s="243"/>
      <c r="Q118" s="194"/>
    </row>
    <row r="119" spans="2:17" ht="35.25" customHeight="1" x14ac:dyDescent="0.2">
      <c r="B119" s="172"/>
      <c r="C119" s="101"/>
      <c r="D119" s="100" t="s">
        <v>162</v>
      </c>
      <c r="E119" s="103" t="s">
        <v>163</v>
      </c>
      <c r="F119" s="171">
        <v>1</v>
      </c>
      <c r="G119" s="112"/>
      <c r="H119" s="79" t="s">
        <v>29</v>
      </c>
      <c r="I119" s="11" t="s">
        <v>20</v>
      </c>
      <c r="J119" s="74">
        <v>4</v>
      </c>
      <c r="K119" s="234" t="str">
        <f>IF((J121="NA"),"NA",((J121*10)))</f>
        <v>NA</v>
      </c>
      <c r="L119" s="80"/>
      <c r="M119" s="223"/>
      <c r="N119" s="90"/>
      <c r="O119" s="240"/>
      <c r="P119" s="243"/>
      <c r="Q119" s="192" t="s">
        <v>164</v>
      </c>
    </row>
    <row r="120" spans="2:17" ht="32.25" customHeight="1" x14ac:dyDescent="0.2">
      <c r="B120" s="172"/>
      <c r="C120" s="101"/>
      <c r="D120" s="101"/>
      <c r="E120" s="90"/>
      <c r="F120" s="113"/>
      <c r="G120" s="114"/>
      <c r="H120" s="80"/>
      <c r="I120" s="12" t="s">
        <v>24</v>
      </c>
      <c r="J120" s="75">
        <v>4</v>
      </c>
      <c r="K120" s="235"/>
      <c r="L120" s="80"/>
      <c r="M120" s="223"/>
      <c r="N120" s="90"/>
      <c r="O120" s="240"/>
      <c r="P120" s="243"/>
      <c r="Q120" s="193"/>
    </row>
    <row r="121" spans="2:17" ht="36" customHeight="1" x14ac:dyDescent="0.2">
      <c r="B121" s="172"/>
      <c r="C121" s="102"/>
      <c r="D121" s="102"/>
      <c r="E121" s="83"/>
      <c r="F121" s="115"/>
      <c r="G121" s="116"/>
      <c r="H121" s="81"/>
      <c r="I121" s="13" t="s">
        <v>87</v>
      </c>
      <c r="J121" s="6" t="str">
        <f>IF(AND(H119="Si"),(J119/J120),"NA")</f>
        <v>NA</v>
      </c>
      <c r="K121" s="236"/>
      <c r="L121" s="81"/>
      <c r="M121" s="224"/>
      <c r="N121" s="83"/>
      <c r="O121" s="241"/>
      <c r="P121" s="243"/>
      <c r="Q121" s="194"/>
    </row>
    <row r="122" spans="2:17" ht="5.25" customHeight="1" x14ac:dyDescent="0.2">
      <c r="B122" s="92"/>
      <c r="C122" s="93"/>
      <c r="D122" s="93"/>
      <c r="E122" s="93"/>
      <c r="F122" s="93"/>
      <c r="G122" s="93"/>
      <c r="H122" s="93"/>
      <c r="I122" s="93"/>
      <c r="J122" s="93"/>
      <c r="K122" s="93"/>
      <c r="L122" s="93"/>
      <c r="M122" s="93"/>
      <c r="N122" s="93"/>
      <c r="O122" s="93"/>
      <c r="P122" s="243"/>
      <c r="Q122" s="70"/>
    </row>
    <row r="123" spans="2:17" ht="30.75" customHeight="1" x14ac:dyDescent="0.2">
      <c r="B123" s="172" t="s">
        <v>165</v>
      </c>
      <c r="C123" s="95" t="s">
        <v>236</v>
      </c>
      <c r="D123" s="95" t="s">
        <v>237</v>
      </c>
      <c r="E123" s="103" t="s">
        <v>238</v>
      </c>
      <c r="F123" s="171">
        <v>0</v>
      </c>
      <c r="G123" s="112"/>
      <c r="H123" s="79" t="s">
        <v>19</v>
      </c>
      <c r="I123" s="11" t="s">
        <v>20</v>
      </c>
      <c r="J123" s="74">
        <v>0</v>
      </c>
      <c r="K123" s="122">
        <f>IF((J125="NA"),"NA",(((1-J125)*10)))</f>
        <v>10</v>
      </c>
      <c r="L123" s="106">
        <f>IF(AND(H123="No",H126="No",H128="No",H131="No",H134="No",H137="No",H139="No",H141="No",H144="No",H147="No"),0,AVERAGE(K123:K149))</f>
        <v>6.666666666666667</v>
      </c>
      <c r="M123" s="222" t="s">
        <v>21</v>
      </c>
      <c r="N123" s="84">
        <v>0.25</v>
      </c>
      <c r="O123" s="131">
        <f>L123*N123</f>
        <v>1.6666666666666667</v>
      </c>
      <c r="P123" s="243"/>
      <c r="Q123" s="192"/>
    </row>
    <row r="124" spans="2:17" ht="35.25" customHeight="1" x14ac:dyDescent="0.2">
      <c r="B124" s="172"/>
      <c r="C124" s="96"/>
      <c r="D124" s="96"/>
      <c r="E124" s="90"/>
      <c r="F124" s="113"/>
      <c r="G124" s="114"/>
      <c r="H124" s="80"/>
      <c r="I124" s="12" t="s">
        <v>24</v>
      </c>
      <c r="J124" s="75">
        <v>4</v>
      </c>
      <c r="K124" s="122"/>
      <c r="L124" s="80"/>
      <c r="M124" s="223"/>
      <c r="N124" s="90"/>
      <c r="O124" s="132"/>
      <c r="P124" s="243"/>
      <c r="Q124" s="193"/>
    </row>
    <row r="125" spans="2:17" ht="41.25" customHeight="1" x14ac:dyDescent="0.2">
      <c r="B125" s="172"/>
      <c r="C125" s="96"/>
      <c r="D125" s="97"/>
      <c r="E125" s="83"/>
      <c r="F125" s="115"/>
      <c r="G125" s="116"/>
      <c r="H125" s="81"/>
      <c r="I125" s="13" t="s">
        <v>87</v>
      </c>
      <c r="J125" s="6">
        <f>IF(AND(H123="Si"),((J123/J124)),"NA")</f>
        <v>0</v>
      </c>
      <c r="K125" s="122"/>
      <c r="L125" s="80"/>
      <c r="M125" s="223"/>
      <c r="N125" s="90"/>
      <c r="O125" s="132"/>
      <c r="P125" s="243"/>
      <c r="Q125" s="194"/>
    </row>
    <row r="126" spans="2:17" ht="30.75" customHeight="1" x14ac:dyDescent="0.2">
      <c r="B126" s="172"/>
      <c r="C126" s="96"/>
      <c r="D126" s="95" t="s">
        <v>239</v>
      </c>
      <c r="E126" s="117" t="s">
        <v>240</v>
      </c>
      <c r="F126" s="173" t="s">
        <v>241</v>
      </c>
      <c r="G126" s="174"/>
      <c r="H126" s="82" t="s">
        <v>19</v>
      </c>
      <c r="I126" s="11" t="s">
        <v>20</v>
      </c>
      <c r="J126" s="74">
        <v>4</v>
      </c>
      <c r="K126" s="106">
        <f>IF((J127="NA"),"NA",IF(J127&gt;4,0,IF(J127=1,10,((1-(J127/4))*10))))</f>
        <v>0</v>
      </c>
      <c r="L126" s="80"/>
      <c r="M126" s="223"/>
      <c r="N126" s="90"/>
      <c r="O126" s="132"/>
      <c r="P126" s="243"/>
      <c r="Q126" s="192"/>
    </row>
    <row r="127" spans="2:17" ht="30.75" customHeight="1" x14ac:dyDescent="0.2">
      <c r="B127" s="172"/>
      <c r="C127" s="97"/>
      <c r="D127" s="97"/>
      <c r="E127" s="119"/>
      <c r="F127" s="237"/>
      <c r="G127" s="238"/>
      <c r="H127" s="83"/>
      <c r="I127" s="12" t="s">
        <v>26</v>
      </c>
      <c r="J127" s="27">
        <f>IF(H126="Si",(J126),"NA")</f>
        <v>4</v>
      </c>
      <c r="K127" s="107"/>
      <c r="L127" s="80"/>
      <c r="M127" s="223"/>
      <c r="N127" s="90"/>
      <c r="O127" s="132"/>
      <c r="P127" s="243"/>
      <c r="Q127" s="194"/>
    </row>
    <row r="128" spans="2:17" ht="30.75" customHeight="1" x14ac:dyDescent="0.2">
      <c r="B128" s="172"/>
      <c r="C128" s="95" t="s">
        <v>242</v>
      </c>
      <c r="D128" s="95" t="s">
        <v>243</v>
      </c>
      <c r="E128" s="117" t="s">
        <v>244</v>
      </c>
      <c r="F128" s="171">
        <v>1</v>
      </c>
      <c r="G128" s="112"/>
      <c r="H128" s="79" t="s">
        <v>19</v>
      </c>
      <c r="I128" s="11" t="s">
        <v>20</v>
      </c>
      <c r="J128" s="74">
        <v>4</v>
      </c>
      <c r="K128" s="234">
        <f>IF((J130="NA"),"NA",((J130*10)))</f>
        <v>10</v>
      </c>
      <c r="L128" s="80"/>
      <c r="M128" s="223"/>
      <c r="N128" s="90"/>
      <c r="O128" s="132"/>
      <c r="P128" s="243"/>
      <c r="Q128" s="192"/>
    </row>
    <row r="129" spans="2:17" ht="30.75" customHeight="1" x14ac:dyDescent="0.2">
      <c r="B129" s="172"/>
      <c r="C129" s="96"/>
      <c r="D129" s="96"/>
      <c r="E129" s="118"/>
      <c r="F129" s="113"/>
      <c r="G129" s="114"/>
      <c r="H129" s="80"/>
      <c r="I129" s="12" t="s">
        <v>24</v>
      </c>
      <c r="J129" s="75">
        <v>4</v>
      </c>
      <c r="K129" s="235"/>
      <c r="L129" s="80"/>
      <c r="M129" s="223"/>
      <c r="N129" s="90"/>
      <c r="O129" s="132"/>
      <c r="P129" s="243"/>
      <c r="Q129" s="193"/>
    </row>
    <row r="130" spans="2:17" ht="30.75" customHeight="1" x14ac:dyDescent="0.2">
      <c r="B130" s="172"/>
      <c r="C130" s="97"/>
      <c r="D130" s="97"/>
      <c r="E130" s="119"/>
      <c r="F130" s="115"/>
      <c r="G130" s="116"/>
      <c r="H130" s="81"/>
      <c r="I130" s="13" t="s">
        <v>87</v>
      </c>
      <c r="J130" s="6">
        <f>IF(AND(H128="Si"),(J128/J129),"NA")</f>
        <v>1</v>
      </c>
      <c r="K130" s="236"/>
      <c r="L130" s="80"/>
      <c r="M130" s="223"/>
      <c r="N130" s="90"/>
      <c r="O130" s="132"/>
      <c r="P130" s="243"/>
      <c r="Q130" s="194"/>
    </row>
    <row r="131" spans="2:17" ht="30" customHeight="1" x14ac:dyDescent="0.2">
      <c r="B131" s="172"/>
      <c r="C131" s="100" t="s">
        <v>166</v>
      </c>
      <c r="D131" s="100" t="s">
        <v>167</v>
      </c>
      <c r="E131" s="103" t="s">
        <v>245</v>
      </c>
      <c r="F131" s="171">
        <v>1</v>
      </c>
      <c r="G131" s="112"/>
      <c r="H131" s="79" t="s">
        <v>29</v>
      </c>
      <c r="I131" s="11" t="s">
        <v>20</v>
      </c>
      <c r="J131" s="74">
        <v>20</v>
      </c>
      <c r="K131" s="234" t="str">
        <f>IF((J133="NA"),"NA",((J133*10)))</f>
        <v>NA</v>
      </c>
      <c r="L131" s="80"/>
      <c r="M131" s="223"/>
      <c r="N131" s="90"/>
      <c r="O131" s="132"/>
      <c r="P131" s="243"/>
      <c r="Q131" s="192" t="s">
        <v>169</v>
      </c>
    </row>
    <row r="132" spans="2:17" ht="36" customHeight="1" x14ac:dyDescent="0.2">
      <c r="B132" s="172"/>
      <c r="C132" s="101"/>
      <c r="D132" s="101"/>
      <c r="E132" s="90"/>
      <c r="F132" s="113"/>
      <c r="G132" s="114"/>
      <c r="H132" s="80"/>
      <c r="I132" s="12" t="s">
        <v>24</v>
      </c>
      <c r="J132" s="75">
        <v>20</v>
      </c>
      <c r="K132" s="235"/>
      <c r="L132" s="80"/>
      <c r="M132" s="223"/>
      <c r="N132" s="90"/>
      <c r="O132" s="132"/>
      <c r="P132" s="243"/>
      <c r="Q132" s="193"/>
    </row>
    <row r="133" spans="2:17" ht="37.5" customHeight="1" x14ac:dyDescent="0.2">
      <c r="B133" s="172"/>
      <c r="C133" s="101"/>
      <c r="D133" s="102"/>
      <c r="E133" s="83"/>
      <c r="F133" s="115"/>
      <c r="G133" s="116"/>
      <c r="H133" s="81"/>
      <c r="I133" s="13" t="s">
        <v>87</v>
      </c>
      <c r="J133" s="6" t="str">
        <f>IF(AND(H131="Si"),(J131/J132),"NA")</f>
        <v>NA</v>
      </c>
      <c r="K133" s="236"/>
      <c r="L133" s="80"/>
      <c r="M133" s="223"/>
      <c r="N133" s="90"/>
      <c r="O133" s="132"/>
      <c r="P133" s="243"/>
      <c r="Q133" s="194"/>
    </row>
    <row r="134" spans="2:17" ht="37.5" customHeight="1" x14ac:dyDescent="0.2">
      <c r="B134" s="172"/>
      <c r="C134" s="101"/>
      <c r="D134" s="100" t="s">
        <v>170</v>
      </c>
      <c r="E134" s="103" t="s">
        <v>171</v>
      </c>
      <c r="F134" s="171">
        <v>1</v>
      </c>
      <c r="G134" s="112"/>
      <c r="H134" s="79" t="s">
        <v>29</v>
      </c>
      <c r="I134" s="11" t="s">
        <v>20</v>
      </c>
      <c r="J134" s="74"/>
      <c r="K134" s="234" t="str">
        <f>IF((J136="NA"),"NA",((J136*10)))</f>
        <v>NA</v>
      </c>
      <c r="L134" s="80"/>
      <c r="M134" s="223"/>
      <c r="N134" s="90"/>
      <c r="O134" s="132"/>
      <c r="P134" s="243"/>
      <c r="Q134" s="192" t="s">
        <v>172</v>
      </c>
    </row>
    <row r="135" spans="2:17" ht="37.5" customHeight="1" x14ac:dyDescent="0.2">
      <c r="B135" s="172"/>
      <c r="C135" s="101"/>
      <c r="D135" s="101"/>
      <c r="E135" s="90"/>
      <c r="F135" s="113"/>
      <c r="G135" s="114"/>
      <c r="H135" s="80"/>
      <c r="I135" s="12" t="s">
        <v>24</v>
      </c>
      <c r="J135" s="75"/>
      <c r="K135" s="235"/>
      <c r="L135" s="80"/>
      <c r="M135" s="223"/>
      <c r="N135" s="90"/>
      <c r="O135" s="132"/>
      <c r="P135" s="243"/>
      <c r="Q135" s="193"/>
    </row>
    <row r="136" spans="2:17" ht="37.5" customHeight="1" x14ac:dyDescent="0.2">
      <c r="B136" s="172"/>
      <c r="C136" s="102"/>
      <c r="D136" s="102"/>
      <c r="E136" s="83"/>
      <c r="F136" s="115"/>
      <c r="G136" s="116"/>
      <c r="H136" s="81"/>
      <c r="I136" s="13" t="s">
        <v>87</v>
      </c>
      <c r="J136" s="6" t="str">
        <f>IF(AND(H134="Si"),(J134/J135),"NA")</f>
        <v>NA</v>
      </c>
      <c r="K136" s="236"/>
      <c r="L136" s="80"/>
      <c r="M136" s="223"/>
      <c r="N136" s="90"/>
      <c r="O136" s="132"/>
      <c r="P136" s="243"/>
      <c r="Q136" s="194"/>
    </row>
    <row r="137" spans="2:17" ht="26.25" customHeight="1" x14ac:dyDescent="0.2">
      <c r="B137" s="172"/>
      <c r="C137" s="100" t="s">
        <v>173</v>
      </c>
      <c r="D137" s="100" t="s">
        <v>246</v>
      </c>
      <c r="E137" s="103" t="s">
        <v>247</v>
      </c>
      <c r="F137" s="111" t="s">
        <v>248</v>
      </c>
      <c r="G137" s="112"/>
      <c r="H137" s="82" t="s">
        <v>29</v>
      </c>
      <c r="I137" s="11" t="s">
        <v>20</v>
      </c>
      <c r="J137" s="74">
        <v>8</v>
      </c>
      <c r="K137" s="106" t="str">
        <f>IF((J138="NA"),"NA",IF(J138&gt;15,0,IF(J138=1,10,((1-(J138/15))*10))))</f>
        <v>NA</v>
      </c>
      <c r="L137" s="80"/>
      <c r="M137" s="223"/>
      <c r="N137" s="90"/>
      <c r="O137" s="132"/>
      <c r="P137" s="243"/>
      <c r="Q137" s="192" t="s">
        <v>249</v>
      </c>
    </row>
    <row r="138" spans="2:17" ht="26.25" customHeight="1" x14ac:dyDescent="0.2">
      <c r="B138" s="172"/>
      <c r="C138" s="101"/>
      <c r="D138" s="102"/>
      <c r="E138" s="83"/>
      <c r="F138" s="115"/>
      <c r="G138" s="116"/>
      <c r="H138" s="83"/>
      <c r="I138" s="12" t="s">
        <v>26</v>
      </c>
      <c r="J138" s="27" t="str">
        <f>IF(H137="Si",(J137+1),"NA")</f>
        <v>NA</v>
      </c>
      <c r="K138" s="107"/>
      <c r="L138" s="80"/>
      <c r="M138" s="223"/>
      <c r="N138" s="90"/>
      <c r="O138" s="132"/>
      <c r="P138" s="243"/>
      <c r="Q138" s="194"/>
    </row>
    <row r="139" spans="2:17" ht="26.25" customHeight="1" x14ac:dyDescent="0.2">
      <c r="B139" s="172"/>
      <c r="C139" s="101"/>
      <c r="D139" s="100" t="s">
        <v>250</v>
      </c>
      <c r="E139" s="103" t="s">
        <v>251</v>
      </c>
      <c r="F139" s="111" t="s">
        <v>252</v>
      </c>
      <c r="G139" s="112"/>
      <c r="H139" s="82" t="s">
        <v>29</v>
      </c>
      <c r="I139" s="11" t="s">
        <v>20</v>
      </c>
      <c r="J139" s="74">
        <v>3</v>
      </c>
      <c r="K139" s="106" t="str">
        <f>IF((J140="NA"),"NA",IF(J140&gt;4,0,((1-(J140/4))*10)))</f>
        <v>NA</v>
      </c>
      <c r="L139" s="80"/>
      <c r="M139" s="223"/>
      <c r="N139" s="90"/>
      <c r="O139" s="132"/>
      <c r="P139" s="243"/>
      <c r="Q139" s="192" t="s">
        <v>253</v>
      </c>
    </row>
    <row r="140" spans="2:17" ht="26.25" customHeight="1" x14ac:dyDescent="0.2">
      <c r="B140" s="172"/>
      <c r="C140" s="101"/>
      <c r="D140" s="102"/>
      <c r="E140" s="83"/>
      <c r="F140" s="115"/>
      <c r="G140" s="116"/>
      <c r="H140" s="83"/>
      <c r="I140" s="12" t="s">
        <v>26</v>
      </c>
      <c r="J140" s="27" t="str">
        <f>IF(H139="Si",(J139),"NA")</f>
        <v>NA</v>
      </c>
      <c r="K140" s="107"/>
      <c r="L140" s="80"/>
      <c r="M140" s="223"/>
      <c r="N140" s="90"/>
      <c r="O140" s="132"/>
      <c r="P140" s="243"/>
      <c r="Q140" s="194"/>
    </row>
    <row r="141" spans="2:17" ht="27" customHeight="1" x14ac:dyDescent="0.2">
      <c r="B141" s="172"/>
      <c r="C141" s="101"/>
      <c r="D141" s="100" t="s">
        <v>174</v>
      </c>
      <c r="E141" s="109" t="s">
        <v>175</v>
      </c>
      <c r="F141" s="171">
        <v>0</v>
      </c>
      <c r="G141" s="112"/>
      <c r="H141" s="79" t="s">
        <v>29</v>
      </c>
      <c r="I141" s="11" t="s">
        <v>20</v>
      </c>
      <c r="J141" s="74"/>
      <c r="K141" s="122" t="str">
        <f>IF((J143="NA"),"NA",(((1-J143)*10)))</f>
        <v>NA</v>
      </c>
      <c r="L141" s="80"/>
      <c r="M141" s="223"/>
      <c r="N141" s="90"/>
      <c r="O141" s="132"/>
      <c r="P141" s="243"/>
      <c r="Q141" s="192" t="s">
        <v>176</v>
      </c>
    </row>
    <row r="142" spans="2:17" ht="26.25" customHeight="1" x14ac:dyDescent="0.2">
      <c r="B142" s="172"/>
      <c r="C142" s="101"/>
      <c r="D142" s="101"/>
      <c r="E142" s="109"/>
      <c r="F142" s="113"/>
      <c r="G142" s="114"/>
      <c r="H142" s="80"/>
      <c r="I142" s="12" t="s">
        <v>24</v>
      </c>
      <c r="J142" s="75"/>
      <c r="K142" s="122"/>
      <c r="L142" s="80"/>
      <c r="M142" s="223"/>
      <c r="N142" s="90"/>
      <c r="O142" s="132"/>
      <c r="P142" s="243"/>
      <c r="Q142" s="193"/>
    </row>
    <row r="143" spans="2:17" ht="26.25" customHeight="1" x14ac:dyDescent="0.2">
      <c r="B143" s="172"/>
      <c r="C143" s="101"/>
      <c r="D143" s="102"/>
      <c r="E143" s="110"/>
      <c r="F143" s="115"/>
      <c r="G143" s="116"/>
      <c r="H143" s="81"/>
      <c r="I143" s="13" t="s">
        <v>87</v>
      </c>
      <c r="J143" s="6" t="str">
        <f>IF(AND(H141="Si"),((J141/J142)),"NA")</f>
        <v>NA</v>
      </c>
      <c r="K143" s="122"/>
      <c r="L143" s="80"/>
      <c r="M143" s="223"/>
      <c r="N143" s="90"/>
      <c r="O143" s="132"/>
      <c r="P143" s="243"/>
      <c r="Q143" s="194"/>
    </row>
    <row r="144" spans="2:17" ht="33" customHeight="1" x14ac:dyDescent="0.2">
      <c r="B144" s="172"/>
      <c r="C144" s="146" t="s">
        <v>254</v>
      </c>
      <c r="D144" s="100" t="s">
        <v>255</v>
      </c>
      <c r="E144" s="103" t="s">
        <v>256</v>
      </c>
      <c r="F144" s="171">
        <v>1</v>
      </c>
      <c r="G144" s="112"/>
      <c r="H144" s="79" t="s">
        <v>29</v>
      </c>
      <c r="I144" s="11" t="s">
        <v>20</v>
      </c>
      <c r="J144" s="74"/>
      <c r="K144" s="234" t="str">
        <f>IF((J146="NA"),"NA",((J146*10)))</f>
        <v>NA</v>
      </c>
      <c r="L144" s="80"/>
      <c r="M144" s="223"/>
      <c r="N144" s="90"/>
      <c r="O144" s="132"/>
      <c r="P144" s="243"/>
      <c r="Q144" s="192" t="s">
        <v>257</v>
      </c>
    </row>
    <row r="145" spans="1:17" ht="30.75" customHeight="1" x14ac:dyDescent="0.2">
      <c r="B145" s="172"/>
      <c r="C145" s="146"/>
      <c r="D145" s="101"/>
      <c r="E145" s="90"/>
      <c r="F145" s="113"/>
      <c r="G145" s="114"/>
      <c r="H145" s="80"/>
      <c r="I145" s="12" t="s">
        <v>24</v>
      </c>
      <c r="J145" s="75"/>
      <c r="K145" s="235"/>
      <c r="L145" s="80"/>
      <c r="M145" s="223"/>
      <c r="N145" s="90"/>
      <c r="O145" s="132"/>
      <c r="P145" s="243"/>
      <c r="Q145" s="193"/>
    </row>
    <row r="146" spans="1:17" ht="31.5" customHeight="1" x14ac:dyDescent="0.2">
      <c r="B146" s="172"/>
      <c r="C146" s="146"/>
      <c r="D146" s="102"/>
      <c r="E146" s="83"/>
      <c r="F146" s="115"/>
      <c r="G146" s="116"/>
      <c r="H146" s="81"/>
      <c r="I146" s="13" t="s">
        <v>87</v>
      </c>
      <c r="J146" s="6" t="str">
        <f>IF(AND(H144="Si"),(J144/J145),"NA")</f>
        <v>NA</v>
      </c>
      <c r="K146" s="236"/>
      <c r="L146" s="80"/>
      <c r="M146" s="223"/>
      <c r="N146" s="90"/>
      <c r="O146" s="132"/>
      <c r="P146" s="243"/>
      <c r="Q146" s="194"/>
    </row>
    <row r="147" spans="1:17" ht="33.75" customHeight="1" x14ac:dyDescent="0.2">
      <c r="B147" s="172"/>
      <c r="C147" s="146"/>
      <c r="D147" s="100" t="s">
        <v>258</v>
      </c>
      <c r="E147" s="103" t="s">
        <v>259</v>
      </c>
      <c r="F147" s="171">
        <v>0</v>
      </c>
      <c r="G147" s="112"/>
      <c r="H147" s="79" t="s">
        <v>29</v>
      </c>
      <c r="I147" s="11" t="s">
        <v>20</v>
      </c>
      <c r="J147" s="74"/>
      <c r="K147" s="122" t="str">
        <f>IF((J149="NA"),"NA",(((1-J149)*10)))</f>
        <v>NA</v>
      </c>
      <c r="L147" s="80"/>
      <c r="M147" s="223"/>
      <c r="N147" s="90"/>
      <c r="O147" s="132"/>
      <c r="P147" s="243"/>
      <c r="Q147" s="192" t="s">
        <v>260</v>
      </c>
    </row>
    <row r="148" spans="1:17" ht="29.25" customHeight="1" x14ac:dyDescent="0.2">
      <c r="B148" s="172"/>
      <c r="C148" s="146"/>
      <c r="D148" s="101"/>
      <c r="E148" s="90"/>
      <c r="F148" s="113"/>
      <c r="G148" s="114"/>
      <c r="H148" s="80"/>
      <c r="I148" s="12" t="s">
        <v>24</v>
      </c>
      <c r="J148" s="75"/>
      <c r="K148" s="122"/>
      <c r="L148" s="80"/>
      <c r="M148" s="223"/>
      <c r="N148" s="90"/>
      <c r="O148" s="132"/>
      <c r="P148" s="243"/>
      <c r="Q148" s="193"/>
    </row>
    <row r="149" spans="1:17" ht="36" customHeight="1" x14ac:dyDescent="0.2">
      <c r="B149" s="172"/>
      <c r="C149" s="146"/>
      <c r="D149" s="102"/>
      <c r="E149" s="83"/>
      <c r="F149" s="115"/>
      <c r="G149" s="116"/>
      <c r="H149" s="81"/>
      <c r="I149" s="13" t="s">
        <v>87</v>
      </c>
      <c r="J149" s="6" t="str">
        <f>IF(AND(H147="Si"),((J147/J148)),"NA")</f>
        <v>NA</v>
      </c>
      <c r="K149" s="122"/>
      <c r="L149" s="81"/>
      <c r="M149" s="224"/>
      <c r="N149" s="83"/>
      <c r="O149" s="133"/>
      <c r="P149" s="243"/>
      <c r="Q149" s="194"/>
    </row>
    <row r="150" spans="1:17" ht="5.25" customHeight="1" x14ac:dyDescent="0.2">
      <c r="B150" s="92"/>
      <c r="C150" s="93"/>
      <c r="D150" s="93"/>
      <c r="E150" s="93"/>
      <c r="F150" s="93"/>
      <c r="G150" s="93"/>
      <c r="H150" s="93"/>
      <c r="I150" s="93"/>
      <c r="J150" s="93"/>
      <c r="K150" s="93"/>
      <c r="L150" s="93"/>
      <c r="M150" s="93"/>
      <c r="N150" s="93"/>
      <c r="O150" s="93"/>
      <c r="P150" s="243"/>
      <c r="Q150" s="70"/>
    </row>
    <row r="151" spans="1:17" ht="40.5" customHeight="1" x14ac:dyDescent="0.2">
      <c r="A151" s="18"/>
      <c r="B151" s="158" t="s">
        <v>188</v>
      </c>
      <c r="C151" s="151" t="s">
        <v>189</v>
      </c>
      <c r="D151" s="100" t="s">
        <v>190</v>
      </c>
      <c r="E151" s="103" t="s">
        <v>191</v>
      </c>
      <c r="F151" s="171">
        <v>0</v>
      </c>
      <c r="G151" s="112"/>
      <c r="H151" s="79" t="s">
        <v>29</v>
      </c>
      <c r="I151" s="11" t="s">
        <v>20</v>
      </c>
      <c r="J151" s="74"/>
      <c r="K151" s="122" t="str">
        <f>IF((J153="NA"),"NA",(((1-J153)*10)))</f>
        <v>NA</v>
      </c>
      <c r="L151" s="106">
        <f>IF(AND(H151="No",H154="No",H157="No",H160="No"),0,AVERAGE(K151:K162))</f>
        <v>0</v>
      </c>
      <c r="M151" s="222" t="s">
        <v>192</v>
      </c>
      <c r="N151" s="246">
        <v>0</v>
      </c>
      <c r="O151" s="131">
        <f>L151*N151</f>
        <v>0</v>
      </c>
      <c r="P151" s="243"/>
      <c r="Q151" s="192" t="s">
        <v>193</v>
      </c>
    </row>
    <row r="152" spans="1:17" ht="42" customHeight="1" x14ac:dyDescent="0.2">
      <c r="A152" s="18"/>
      <c r="B152" s="159"/>
      <c r="C152" s="152"/>
      <c r="D152" s="101"/>
      <c r="E152" s="90"/>
      <c r="F152" s="113"/>
      <c r="G152" s="114"/>
      <c r="H152" s="80"/>
      <c r="I152" s="12" t="s">
        <v>24</v>
      </c>
      <c r="J152" s="75"/>
      <c r="K152" s="122"/>
      <c r="L152" s="107"/>
      <c r="M152" s="223"/>
      <c r="N152" s="247"/>
      <c r="O152" s="132"/>
      <c r="P152" s="243"/>
      <c r="Q152" s="193"/>
    </row>
    <row r="153" spans="1:17" ht="34.5" customHeight="1" x14ac:dyDescent="0.2">
      <c r="A153" s="18"/>
      <c r="B153" s="159"/>
      <c r="C153" s="152"/>
      <c r="D153" s="102"/>
      <c r="E153" s="83"/>
      <c r="F153" s="115"/>
      <c r="G153" s="116"/>
      <c r="H153" s="81"/>
      <c r="I153" s="13" t="s">
        <v>87</v>
      </c>
      <c r="J153" s="6" t="str">
        <f>IF(AND(H151="Si"),((J151/J152)),"NA")</f>
        <v>NA</v>
      </c>
      <c r="K153" s="122"/>
      <c r="L153" s="107"/>
      <c r="M153" s="223"/>
      <c r="N153" s="247"/>
      <c r="O153" s="132"/>
      <c r="P153" s="243"/>
      <c r="Q153" s="194"/>
    </row>
    <row r="154" spans="1:17" ht="39.75" customHeight="1" x14ac:dyDescent="0.2">
      <c r="A154" s="18"/>
      <c r="B154" s="159"/>
      <c r="C154" s="152"/>
      <c r="D154" s="100" t="s">
        <v>194</v>
      </c>
      <c r="E154" s="103" t="s">
        <v>195</v>
      </c>
      <c r="F154" s="171">
        <v>0</v>
      </c>
      <c r="G154" s="112"/>
      <c r="H154" s="79" t="s">
        <v>29</v>
      </c>
      <c r="I154" s="11" t="s">
        <v>20</v>
      </c>
      <c r="J154" s="74"/>
      <c r="K154" s="122" t="str">
        <f>IF((J156="NA"),"NA",(((1-J156)*10)))</f>
        <v>NA</v>
      </c>
      <c r="L154" s="107"/>
      <c r="M154" s="223"/>
      <c r="N154" s="247"/>
      <c r="O154" s="132"/>
      <c r="P154" s="243"/>
      <c r="Q154" s="192" t="s">
        <v>196</v>
      </c>
    </row>
    <row r="155" spans="1:17" ht="39" customHeight="1" x14ac:dyDescent="0.2">
      <c r="A155" s="18"/>
      <c r="B155" s="159"/>
      <c r="C155" s="152"/>
      <c r="D155" s="101"/>
      <c r="E155" s="90"/>
      <c r="F155" s="113"/>
      <c r="G155" s="114"/>
      <c r="H155" s="80"/>
      <c r="I155" s="12" t="s">
        <v>24</v>
      </c>
      <c r="J155" s="75"/>
      <c r="K155" s="122"/>
      <c r="L155" s="107"/>
      <c r="M155" s="223"/>
      <c r="N155" s="247"/>
      <c r="O155" s="132"/>
      <c r="P155" s="243"/>
      <c r="Q155" s="193"/>
    </row>
    <row r="156" spans="1:17" ht="39" customHeight="1" x14ac:dyDescent="0.2">
      <c r="A156" s="18"/>
      <c r="B156" s="159"/>
      <c r="C156" s="152"/>
      <c r="D156" s="102"/>
      <c r="E156" s="83"/>
      <c r="F156" s="115"/>
      <c r="G156" s="116"/>
      <c r="H156" s="81"/>
      <c r="I156" s="13" t="s">
        <v>87</v>
      </c>
      <c r="J156" s="6" t="str">
        <f>IF(AND(H154="Si"),((J154/J155)),"NA")</f>
        <v>NA</v>
      </c>
      <c r="K156" s="122"/>
      <c r="L156" s="107"/>
      <c r="M156" s="223"/>
      <c r="N156" s="247"/>
      <c r="O156" s="132"/>
      <c r="P156" s="243"/>
      <c r="Q156" s="194"/>
    </row>
    <row r="157" spans="1:17" ht="38.25" customHeight="1" x14ac:dyDescent="0.2">
      <c r="A157" s="18"/>
      <c r="B157" s="159"/>
      <c r="C157" s="152"/>
      <c r="D157" s="100" t="s">
        <v>197</v>
      </c>
      <c r="E157" s="103" t="s">
        <v>198</v>
      </c>
      <c r="F157" s="171">
        <v>0</v>
      </c>
      <c r="G157" s="112"/>
      <c r="H157" s="79" t="s">
        <v>29</v>
      </c>
      <c r="I157" s="11" t="s">
        <v>20</v>
      </c>
      <c r="J157" s="74"/>
      <c r="K157" s="122" t="str">
        <f>IF((J159="NA"),"NA",(((1-J159)*10)))</f>
        <v>NA</v>
      </c>
      <c r="L157" s="107"/>
      <c r="M157" s="223"/>
      <c r="N157" s="247"/>
      <c r="O157" s="132"/>
      <c r="P157" s="243"/>
      <c r="Q157" s="192" t="s">
        <v>199</v>
      </c>
    </row>
    <row r="158" spans="1:17" ht="37.5" customHeight="1" x14ac:dyDescent="0.2">
      <c r="A158" s="18"/>
      <c r="B158" s="159"/>
      <c r="C158" s="152"/>
      <c r="D158" s="101"/>
      <c r="E158" s="90"/>
      <c r="F158" s="113"/>
      <c r="G158" s="114"/>
      <c r="H158" s="80"/>
      <c r="I158" s="12" t="s">
        <v>24</v>
      </c>
      <c r="J158" s="75"/>
      <c r="K158" s="122"/>
      <c r="L158" s="107"/>
      <c r="M158" s="223"/>
      <c r="N158" s="247"/>
      <c r="O158" s="132"/>
      <c r="P158" s="243"/>
      <c r="Q158" s="193"/>
    </row>
    <row r="159" spans="1:17" ht="38.25" customHeight="1" x14ac:dyDescent="0.2">
      <c r="A159" s="18"/>
      <c r="B159" s="159"/>
      <c r="C159" s="153"/>
      <c r="D159" s="102"/>
      <c r="E159" s="83"/>
      <c r="F159" s="115"/>
      <c r="G159" s="116"/>
      <c r="H159" s="81"/>
      <c r="I159" s="13" t="s">
        <v>87</v>
      </c>
      <c r="J159" s="6" t="str">
        <f>IF(AND(H157="Si"),((J157/J158)),"NA")</f>
        <v>NA</v>
      </c>
      <c r="K159" s="122"/>
      <c r="L159" s="107"/>
      <c r="M159" s="223"/>
      <c r="N159" s="247"/>
      <c r="O159" s="132"/>
      <c r="P159" s="243"/>
      <c r="Q159" s="194"/>
    </row>
    <row r="160" spans="1:17" ht="27.75" customHeight="1" x14ac:dyDescent="0.2">
      <c r="A160" s="18"/>
      <c r="B160" s="159"/>
      <c r="C160" s="151" t="s">
        <v>205</v>
      </c>
      <c r="D160" s="100" t="s">
        <v>206</v>
      </c>
      <c r="E160" s="103" t="s">
        <v>207</v>
      </c>
      <c r="F160" s="111">
        <v>0</v>
      </c>
      <c r="G160" s="112"/>
      <c r="H160" s="79" t="s">
        <v>29</v>
      </c>
      <c r="I160" s="11" t="s">
        <v>20</v>
      </c>
      <c r="J160" s="74"/>
      <c r="K160" s="122" t="str">
        <f>IF((J162="NA"),"NA",(((1-J162)*10)))</f>
        <v>NA</v>
      </c>
      <c r="L160" s="107"/>
      <c r="M160" s="223"/>
      <c r="N160" s="247"/>
      <c r="O160" s="132"/>
      <c r="P160" s="243"/>
      <c r="Q160" s="192" t="s">
        <v>261</v>
      </c>
    </row>
    <row r="161" spans="1:17" ht="30" customHeight="1" x14ac:dyDescent="0.2">
      <c r="A161" s="18"/>
      <c r="B161" s="159"/>
      <c r="C161" s="152"/>
      <c r="D161" s="101"/>
      <c r="E161" s="109"/>
      <c r="F161" s="113"/>
      <c r="G161" s="114"/>
      <c r="H161" s="80"/>
      <c r="I161" s="12" t="s">
        <v>24</v>
      </c>
      <c r="J161" s="75"/>
      <c r="K161" s="122"/>
      <c r="L161" s="107"/>
      <c r="M161" s="223"/>
      <c r="N161" s="247"/>
      <c r="O161" s="132"/>
      <c r="P161" s="243"/>
      <c r="Q161" s="193"/>
    </row>
    <row r="162" spans="1:17" ht="36" customHeight="1" x14ac:dyDescent="0.2">
      <c r="A162" s="18"/>
      <c r="B162" s="160"/>
      <c r="C162" s="153"/>
      <c r="D162" s="102"/>
      <c r="E162" s="110"/>
      <c r="F162" s="115"/>
      <c r="G162" s="116"/>
      <c r="H162" s="81"/>
      <c r="I162" s="13" t="s">
        <v>87</v>
      </c>
      <c r="J162" s="6" t="str">
        <f>IF(AND(H160="Si"),((J160/J161)),"NA")</f>
        <v>NA</v>
      </c>
      <c r="K162" s="122"/>
      <c r="L162" s="108"/>
      <c r="M162" s="224"/>
      <c r="N162" s="248"/>
      <c r="O162" s="133"/>
      <c r="P162" s="245"/>
      <c r="Q162" s="194"/>
    </row>
    <row r="163" spans="1:17" x14ac:dyDescent="0.2">
      <c r="N163" s="30">
        <f>SUM(N1:N162)</f>
        <v>1</v>
      </c>
    </row>
    <row r="164" spans="1:17" x14ac:dyDescent="0.2">
      <c r="N164" s="14"/>
    </row>
  </sheetData>
  <dataConsolidate link="1"/>
  <mergeCells count="391">
    <mergeCell ref="Q141:Q143"/>
    <mergeCell ref="Q144:Q146"/>
    <mergeCell ref="Q147:Q149"/>
    <mergeCell ref="Q151:Q153"/>
    <mergeCell ref="Q154:Q156"/>
    <mergeCell ref="Q157:Q159"/>
    <mergeCell ref="Q160:Q162"/>
    <mergeCell ref="Q116:Q118"/>
    <mergeCell ref="Q119:Q121"/>
    <mergeCell ref="Q123:Q125"/>
    <mergeCell ref="Q126:Q127"/>
    <mergeCell ref="Q128:Q130"/>
    <mergeCell ref="Q131:Q133"/>
    <mergeCell ref="Q134:Q136"/>
    <mergeCell ref="Q137:Q138"/>
    <mergeCell ref="Q139:Q140"/>
    <mergeCell ref="Q88:Q90"/>
    <mergeCell ref="Q91:Q93"/>
    <mergeCell ref="Q95:Q97"/>
    <mergeCell ref="Q98:Q100"/>
    <mergeCell ref="Q101:Q103"/>
    <mergeCell ref="Q104:Q106"/>
    <mergeCell ref="Q107:Q109"/>
    <mergeCell ref="Q110:Q111"/>
    <mergeCell ref="Q113:Q115"/>
    <mergeCell ref="Q61:Q63"/>
    <mergeCell ref="Q64:Q66"/>
    <mergeCell ref="Q67:Q69"/>
    <mergeCell ref="Q70:Q72"/>
    <mergeCell ref="Q73:Q75"/>
    <mergeCell ref="Q76:Q78"/>
    <mergeCell ref="Q79:Q81"/>
    <mergeCell ref="Q82:Q84"/>
    <mergeCell ref="Q85:Q87"/>
    <mergeCell ref="Q36:Q38"/>
    <mergeCell ref="Q39:Q41"/>
    <mergeCell ref="Q42:Q43"/>
    <mergeCell ref="Q44:Q45"/>
    <mergeCell ref="Q46:Q47"/>
    <mergeCell ref="Q48:Q50"/>
    <mergeCell ref="Q51:Q53"/>
    <mergeCell ref="Q54:Q56"/>
    <mergeCell ref="Q58:Q60"/>
    <mergeCell ref="Q13:Q15"/>
    <mergeCell ref="Q7:Q9"/>
    <mergeCell ref="Q10:Q12"/>
    <mergeCell ref="Q17:Q19"/>
    <mergeCell ref="Q20:Q22"/>
    <mergeCell ref="Q23:Q25"/>
    <mergeCell ref="Q26:Q28"/>
    <mergeCell ref="Q29:Q31"/>
    <mergeCell ref="Q33:Q35"/>
    <mergeCell ref="D26:D28"/>
    <mergeCell ref="E26:E28"/>
    <mergeCell ref="F26:G28"/>
    <mergeCell ref="K26:K28"/>
    <mergeCell ref="C23:C28"/>
    <mergeCell ref="B2:P3"/>
    <mergeCell ref="C160:C162"/>
    <mergeCell ref="B151:B162"/>
    <mergeCell ref="L151:L162"/>
    <mergeCell ref="O151:O162"/>
    <mergeCell ref="N151:N162"/>
    <mergeCell ref="D157:D159"/>
    <mergeCell ref="E157:E159"/>
    <mergeCell ref="F157:G159"/>
    <mergeCell ref="K157:K159"/>
    <mergeCell ref="C151:C159"/>
    <mergeCell ref="D160:D162"/>
    <mergeCell ref="E160:E162"/>
    <mergeCell ref="F160:G162"/>
    <mergeCell ref="K160:K162"/>
    <mergeCell ref="D154:D156"/>
    <mergeCell ref="E154:E156"/>
    <mergeCell ref="F154:G156"/>
    <mergeCell ref="K154:K156"/>
    <mergeCell ref="P7:P162"/>
    <mergeCell ref="O17:O31"/>
    <mergeCell ref="L123:L149"/>
    <mergeCell ref="L113:L121"/>
    <mergeCell ref="K147:K149"/>
    <mergeCell ref="C137:C143"/>
    <mergeCell ref="E131:E133"/>
    <mergeCell ref="D131:D133"/>
    <mergeCell ref="F131:G133"/>
    <mergeCell ref="K131:K133"/>
    <mergeCell ref="D134:D136"/>
    <mergeCell ref="E134:E136"/>
    <mergeCell ref="F134:G136"/>
    <mergeCell ref="K134:K136"/>
    <mergeCell ref="C131:C136"/>
    <mergeCell ref="D151:D153"/>
    <mergeCell ref="E151:E153"/>
    <mergeCell ref="F151:G153"/>
    <mergeCell ref="K151:K153"/>
    <mergeCell ref="E141:E143"/>
    <mergeCell ref="D141:D143"/>
    <mergeCell ref="D137:D138"/>
    <mergeCell ref="E137:E138"/>
    <mergeCell ref="F137:G138"/>
    <mergeCell ref="K137:K138"/>
    <mergeCell ref="D139:D140"/>
    <mergeCell ref="E139:E140"/>
    <mergeCell ref="F139:G140"/>
    <mergeCell ref="K139:K140"/>
    <mergeCell ref="F141:G143"/>
    <mergeCell ref="K141:K143"/>
    <mergeCell ref="B150:O150"/>
    <mergeCell ref="D144:D146"/>
    <mergeCell ref="D147:D149"/>
    <mergeCell ref="E144:E146"/>
    <mergeCell ref="F144:G146"/>
    <mergeCell ref="K144:K146"/>
    <mergeCell ref="E147:E149"/>
    <mergeCell ref="F147:G149"/>
    <mergeCell ref="H137:H138"/>
    <mergeCell ref="H139:H140"/>
    <mergeCell ref="H141:H143"/>
    <mergeCell ref="H144:H146"/>
    <mergeCell ref="H147:H149"/>
    <mergeCell ref="C123:C127"/>
    <mergeCell ref="E128:E130"/>
    <mergeCell ref="D128:D130"/>
    <mergeCell ref="C128:C130"/>
    <mergeCell ref="F128:G130"/>
    <mergeCell ref="K128:K130"/>
    <mergeCell ref="F126:G127"/>
    <mergeCell ref="B122:O122"/>
    <mergeCell ref="B113:B121"/>
    <mergeCell ref="C113:C115"/>
    <mergeCell ref="D113:D115"/>
    <mergeCell ref="E113:E115"/>
    <mergeCell ref="F113:G115"/>
    <mergeCell ref="K113:K115"/>
    <mergeCell ref="E123:E125"/>
    <mergeCell ref="F123:G125"/>
    <mergeCell ref="K123:K125"/>
    <mergeCell ref="D126:D127"/>
    <mergeCell ref="E126:E127"/>
    <mergeCell ref="N113:N121"/>
    <mergeCell ref="O113:O121"/>
    <mergeCell ref="K126:K127"/>
    <mergeCell ref="N123:N149"/>
    <mergeCell ref="O123:O149"/>
    <mergeCell ref="E116:E118"/>
    <mergeCell ref="F116:G118"/>
    <mergeCell ref="K116:K118"/>
    <mergeCell ref="D119:D121"/>
    <mergeCell ref="C116:C121"/>
    <mergeCell ref="E119:E121"/>
    <mergeCell ref="F119:G121"/>
    <mergeCell ref="K119:K121"/>
    <mergeCell ref="E110:E111"/>
    <mergeCell ref="F110:G111"/>
    <mergeCell ref="K110:K111"/>
    <mergeCell ref="B112:O112"/>
    <mergeCell ref="L95:L111"/>
    <mergeCell ref="N95:N111"/>
    <mergeCell ref="O95:O111"/>
    <mergeCell ref="E98:E100"/>
    <mergeCell ref="F98:G100"/>
    <mergeCell ref="K98:K100"/>
    <mergeCell ref="C95:C100"/>
    <mergeCell ref="E104:E106"/>
    <mergeCell ref="F104:G106"/>
    <mergeCell ref="K104:K106"/>
    <mergeCell ref="E107:E109"/>
    <mergeCell ref="D107:D109"/>
    <mergeCell ref="C107:C109"/>
    <mergeCell ref="F107:G109"/>
    <mergeCell ref="K107:K109"/>
    <mergeCell ref="C82:C87"/>
    <mergeCell ref="D85:D87"/>
    <mergeCell ref="E85:E87"/>
    <mergeCell ref="F85:G87"/>
    <mergeCell ref="K85:K87"/>
    <mergeCell ref="C88:C90"/>
    <mergeCell ref="D88:D90"/>
    <mergeCell ref="E88:E90"/>
    <mergeCell ref="F88:G90"/>
    <mergeCell ref="K88:K90"/>
    <mergeCell ref="H88:H90"/>
    <mergeCell ref="H91:H93"/>
    <mergeCell ref="H95:H97"/>
    <mergeCell ref="H98:H100"/>
    <mergeCell ref="H101:H103"/>
    <mergeCell ref="H104:H106"/>
    <mergeCell ref="H107:H109"/>
    <mergeCell ref="F6:G6"/>
    <mergeCell ref="F7:G9"/>
    <mergeCell ref="F10:G12"/>
    <mergeCell ref="F13:G15"/>
    <mergeCell ref="I6:J6"/>
    <mergeCell ref="D70:D72"/>
    <mergeCell ref="E70:E72"/>
    <mergeCell ref="F70:G72"/>
    <mergeCell ref="K70:K72"/>
    <mergeCell ref="E7:E9"/>
    <mergeCell ref="K23:K25"/>
    <mergeCell ref="D13:D15"/>
    <mergeCell ref="D36:D38"/>
    <mergeCell ref="D54:D56"/>
    <mergeCell ref="D61:D63"/>
    <mergeCell ref="E61:E63"/>
    <mergeCell ref="F61:G63"/>
    <mergeCell ref="K61:K63"/>
    <mergeCell ref="B57:O57"/>
    <mergeCell ref="D58:D60"/>
    <mergeCell ref="E58:E60"/>
    <mergeCell ref="F58:G60"/>
    <mergeCell ref="K58:K60"/>
    <mergeCell ref="C64:C69"/>
    <mergeCell ref="O7:O15"/>
    <mergeCell ref="L7:L15"/>
    <mergeCell ref="K7:K9"/>
    <mergeCell ref="N33:N56"/>
    <mergeCell ref="O33:O56"/>
    <mergeCell ref="N7:N15"/>
    <mergeCell ref="E73:E75"/>
    <mergeCell ref="F73:G75"/>
    <mergeCell ref="K73:K75"/>
    <mergeCell ref="E13:E15"/>
    <mergeCell ref="K13:K15"/>
    <mergeCell ref="F17:G19"/>
    <mergeCell ref="E17:E19"/>
    <mergeCell ref="K17:K19"/>
    <mergeCell ref="E20:E22"/>
    <mergeCell ref="F20:G22"/>
    <mergeCell ref="K20:K22"/>
    <mergeCell ref="F23:G25"/>
    <mergeCell ref="E36:E38"/>
    <mergeCell ref="F36:G38"/>
    <mergeCell ref="E54:E56"/>
    <mergeCell ref="F54:G56"/>
    <mergeCell ref="K54:K56"/>
    <mergeCell ref="L58:L93"/>
    <mergeCell ref="K36:K38"/>
    <mergeCell ref="D39:D41"/>
    <mergeCell ref="E39:E41"/>
    <mergeCell ref="C33:C41"/>
    <mergeCell ref="F39:G41"/>
    <mergeCell ref="K39:K41"/>
    <mergeCell ref="F79:G81"/>
    <mergeCell ref="K79:K81"/>
    <mergeCell ref="C58:C63"/>
    <mergeCell ref="D64:D66"/>
    <mergeCell ref="E64:E66"/>
    <mergeCell ref="F64:G66"/>
    <mergeCell ref="E76:E78"/>
    <mergeCell ref="F76:G78"/>
    <mergeCell ref="K76:K78"/>
    <mergeCell ref="E79:E81"/>
    <mergeCell ref="E67:E69"/>
    <mergeCell ref="F67:G69"/>
    <mergeCell ref="K67:K69"/>
    <mergeCell ref="H36:H38"/>
    <mergeCell ref="H39:H41"/>
    <mergeCell ref="H42:H43"/>
    <mergeCell ref="H44:H45"/>
    <mergeCell ref="H46:H47"/>
    <mergeCell ref="C7:C9"/>
    <mergeCell ref="D7:D9"/>
    <mergeCell ref="B95:B111"/>
    <mergeCell ref="C51:C56"/>
    <mergeCell ref="B7:B15"/>
    <mergeCell ref="D82:D84"/>
    <mergeCell ref="C91:C93"/>
    <mergeCell ref="D91:D93"/>
    <mergeCell ref="D98:D100"/>
    <mergeCell ref="C104:C106"/>
    <mergeCell ref="D104:D106"/>
    <mergeCell ref="C110:C111"/>
    <mergeCell ref="D110:D111"/>
    <mergeCell ref="B17:B31"/>
    <mergeCell ref="D20:D22"/>
    <mergeCell ref="D23:D25"/>
    <mergeCell ref="B32:O32"/>
    <mergeCell ref="L17:L31"/>
    <mergeCell ref="N17:N31"/>
    <mergeCell ref="C10:C15"/>
    <mergeCell ref="B16:O16"/>
    <mergeCell ref="B33:B56"/>
    <mergeCell ref="D10:D12"/>
    <mergeCell ref="C17:C22"/>
    <mergeCell ref="C29:C31"/>
    <mergeCell ref="F29:G31"/>
    <mergeCell ref="K29:K31"/>
    <mergeCell ref="D17:D19"/>
    <mergeCell ref="B123:B149"/>
    <mergeCell ref="C144:C149"/>
    <mergeCell ref="D116:D118"/>
    <mergeCell ref="D123:D125"/>
    <mergeCell ref="D101:D103"/>
    <mergeCell ref="C101:C103"/>
    <mergeCell ref="E101:E103"/>
    <mergeCell ref="F101:G103"/>
    <mergeCell ref="K101:K103"/>
    <mergeCell ref="E91:E93"/>
    <mergeCell ref="F91:G93"/>
    <mergeCell ref="K91:K93"/>
    <mergeCell ref="B58:B93"/>
    <mergeCell ref="E82:E84"/>
    <mergeCell ref="K64:K66"/>
    <mergeCell ref="D67:D69"/>
    <mergeCell ref="C42:C50"/>
    <mergeCell ref="C70:C81"/>
    <mergeCell ref="E23:E25"/>
    <mergeCell ref="D33:D35"/>
    <mergeCell ref="M7:M15"/>
    <mergeCell ref="M17:M31"/>
    <mergeCell ref="M33:M56"/>
    <mergeCell ref="D51:D53"/>
    <mergeCell ref="E51:E53"/>
    <mergeCell ref="F51:G53"/>
    <mergeCell ref="K51:K53"/>
    <mergeCell ref="D46:D47"/>
    <mergeCell ref="E46:E47"/>
    <mergeCell ref="F46:G47"/>
    <mergeCell ref="K46:K47"/>
    <mergeCell ref="D48:D50"/>
    <mergeCell ref="E48:E50"/>
    <mergeCell ref="F48:G50"/>
    <mergeCell ref="K48:K50"/>
    <mergeCell ref="E10:E12"/>
    <mergeCell ref="K10:K12"/>
    <mergeCell ref="L33:L56"/>
    <mergeCell ref="E29:E31"/>
    <mergeCell ref="D29:D31"/>
    <mergeCell ref="E33:E35"/>
    <mergeCell ref="F33:G35"/>
    <mergeCell ref="K33:K35"/>
    <mergeCell ref="K44:K45"/>
    <mergeCell ref="M58:M93"/>
    <mergeCell ref="M95:M111"/>
    <mergeCell ref="M113:M121"/>
    <mergeCell ref="M123:M149"/>
    <mergeCell ref="M151:M162"/>
    <mergeCell ref="D42:D43"/>
    <mergeCell ref="E42:E43"/>
    <mergeCell ref="F42:G43"/>
    <mergeCell ref="K42:K43"/>
    <mergeCell ref="D44:D45"/>
    <mergeCell ref="E44:E45"/>
    <mergeCell ref="F44:G45"/>
    <mergeCell ref="D73:D75"/>
    <mergeCell ref="D76:D78"/>
    <mergeCell ref="D79:D81"/>
    <mergeCell ref="E95:E97"/>
    <mergeCell ref="D95:D97"/>
    <mergeCell ref="B94:O94"/>
    <mergeCell ref="N58:N93"/>
    <mergeCell ref="O58:O93"/>
    <mergeCell ref="F95:G97"/>
    <mergeCell ref="K95:K97"/>
    <mergeCell ref="F82:G84"/>
    <mergeCell ref="K82:K84"/>
    <mergeCell ref="H48:H50"/>
    <mergeCell ref="H51:H53"/>
    <mergeCell ref="H54:H56"/>
    <mergeCell ref="H58:H60"/>
    <mergeCell ref="H7:H9"/>
    <mergeCell ref="H10:H12"/>
    <mergeCell ref="H13:H15"/>
    <mergeCell ref="H17:H19"/>
    <mergeCell ref="H20:H22"/>
    <mergeCell ref="H23:H25"/>
    <mergeCell ref="H26:H28"/>
    <mergeCell ref="H29:H31"/>
    <mergeCell ref="H33:H35"/>
    <mergeCell ref="H61:H63"/>
    <mergeCell ref="H64:H66"/>
    <mergeCell ref="H67:H69"/>
    <mergeCell ref="H70:H72"/>
    <mergeCell ref="H73:H75"/>
    <mergeCell ref="H76:H78"/>
    <mergeCell ref="H79:H81"/>
    <mergeCell ref="H82:H84"/>
    <mergeCell ref="H85:H87"/>
    <mergeCell ref="H151:H153"/>
    <mergeCell ref="H154:H156"/>
    <mergeCell ref="H157:H159"/>
    <mergeCell ref="H160:H162"/>
    <mergeCell ref="H110:H111"/>
    <mergeCell ref="H113:H115"/>
    <mergeCell ref="H116:H118"/>
    <mergeCell ref="H119:H121"/>
    <mergeCell ref="H123:H125"/>
    <mergeCell ref="H126:H127"/>
    <mergeCell ref="H128:H130"/>
    <mergeCell ref="H131:H133"/>
    <mergeCell ref="H134:H136"/>
  </mergeCells>
  <conditionalFormatting sqref="N7:N15 N17:N31 N33:N56 N58:N93 N95:N111 N113:N121 N123:N149 N151:N162">
    <cfRule type="expression" dxfId="1" priority="1">
      <formula>$N$163&lt;&gt;100%</formula>
    </cfRule>
  </conditionalFormatting>
  <dataValidations count="18">
    <dataValidation operator="lessThanOrEqual" allowBlank="1" showInputMessage="1" showErrorMessage="1" errorTitle="Mensaje exitoso" error="El valor ingresado en la variable A es mayor al umbral, el cual es considerado no exitoso." sqref="J29 J13" xr:uid="{00000000-0002-0000-0000-000000000000}"/>
    <dataValidation allowBlank="1" showInputMessage="1" showErrorMessage="1" errorTitle="Error en la métrica" error="El valor ingresado en la variable A es:_x000a_1. Mayor al umbral, el cual es considerado no exitoso._x000a_2. Igual a 0." sqref="J42 J110 J126 J137 J139" xr:uid="{00000000-0002-0000-0000-000001000000}"/>
    <dataValidation type="whole" operator="greaterThan" allowBlank="1" showInputMessage="1" showErrorMessage="1" errorTitle="Error en la métrica" error="El valor ingresado en la variable T debe ser mayor a cero" sqref="J55 J52 J40" xr:uid="{00000000-0002-0000-0000-000002000000}">
      <formula1>0</formula1>
    </dataValidation>
    <dataValidation type="whole" operator="equal" allowBlank="1" showInputMessage="1" showErrorMessage="1" errorTitle="Error en la métrica" error="El valor ingresado en la variable T debe ser 1." sqref="J30" xr:uid="{00000000-0002-0000-0000-000003000000}">
      <formula1>1</formula1>
    </dataValidation>
    <dataValidation type="whole" operator="lessThanOrEqual" allowBlank="1" showInputMessage="1" showErrorMessage="1" errorTitle="Error en la métrica" error="El valor ingresado en la variable A debe ser menor o igual a la variable B" sqref="J76 J7 J98 J17 J20 J23 J157 J58 J61 J64 J67 J79 J70 J73 J26 J82 J85 J88 J91 J95 J101 J104 J107 J113 J116 J119 J123 J128 J131 J134 J141 J144 J147 J151 J154 J160" xr:uid="{00000000-0002-0000-0000-000004000000}">
      <formula1>J8</formula1>
    </dataValidation>
    <dataValidation type="custom" allowBlank="1" showInputMessage="1" showErrorMessage="1" errorTitle="Error en la métrica" error="El valor ingresado en la variable B debe ser:_x000a_1. Mayor a cero._x000a_2. Mayor o igual a la variable A" sqref="J161 J158 J155 J21 J24 J148 J59 J62 J152 J68 J71 J80 J74 J27 J83 J86 J89 J92 J96 J99 J102 J105 J108 J114 J117 J120 J124 J129 J132 J135 J145 J8 J11 J18 J65 J77 J142" xr:uid="{00000000-0002-0000-0000-000005000000}">
      <formula1>AND(J8&gt;0,J8&gt;=J7)</formula1>
    </dataValidation>
    <dataValidation type="list" allowBlank="1" showInputMessage="1" showErrorMessage="1" errorTitle="Error en Nivel de Importancia" error="No se debe ingresar valores que no están en la lista." sqref="M151:M162 M7:M15 M17:M31 M58:M93 M95:M111 M113:M121 M123:M149 M33:M56" xr:uid="{00000000-0002-0000-0000-000006000000}">
      <formula1>importancia</formula1>
    </dataValidation>
    <dataValidation operator="equal" allowBlank="1" showInputMessage="1" showErrorMessage="1" errorTitle="error" error="ssss" sqref="N163" xr:uid="{00000000-0002-0000-0000-000007000000}"/>
    <dataValidation type="whole" operator="lessThanOrEqual" showInputMessage="1" showErrorMessage="1" errorTitle="Error en la métrica" error="El valor ingresado en la variable A debe ser menor o igual a la variable B" sqref="J10" xr:uid="{00000000-0002-0000-0000-000008000000}">
      <formula1>J11</formula1>
    </dataValidation>
    <dataValidation type="list" allowBlank="1" showInputMessage="1" showErrorMessage="1" errorTitle="Error" error="No se debe ingresar valores que no están en la lista." sqref="H7:H15 H17:H31 H58:H93 H95:H111 H113:H121 H123:H149 H151:H162 H33:H56" xr:uid="{00000000-0002-0000-0000-000009000000}">
      <formula1>aplica2</formula1>
    </dataValidation>
    <dataValidation type="whole" operator="equal" allowBlank="1" showInputMessage="1" showErrorMessage="1" errorTitle="Error en la métrica" error="El valor ingresado en la variable T debe ser 15." sqref="J14" xr:uid="{00000000-0002-0000-0000-00000A000000}">
      <formula1>15</formula1>
    </dataValidation>
    <dataValidation operator="lessThanOrEqual" allowBlank="1" showInputMessage="1" showErrorMessage="1" errorTitle="Mensaje exitoso" error="El valor ingresado en la variable A es mayor al umbral, el cual es considerado exitoso." sqref="J54 J51 J39" xr:uid="{00000000-0002-0000-0000-00000B000000}"/>
    <dataValidation operator="lessThanOrEqual" allowBlank="1" showInputMessage="1" showErrorMessage="1" errorTitle="Error en la métrica" error="El valor ingresado en la variable A debe ser menor o igual a la variable B" sqref="J46" xr:uid="{00000000-0002-0000-0000-00000C000000}"/>
    <dataValidation operator="lessThanOrEqual" allowBlank="1" showInputMessage="1" showErrorMessage="1" errorTitle="Error en la métrica" error="El valor ingresado en la variable A fue mayor que la variable B._x000a_" sqref="J44" xr:uid="{00000000-0002-0000-0000-00000D000000}"/>
    <dataValidation type="whole" operator="lessThanOrEqual" allowBlank="1" showInputMessage="1" showErrorMessage="1" errorTitle="Error en la métrica" error="El valor ingresado en la variable A debe ser menor al valor ingresado en la variable B._x000a_" sqref="J36 J48" xr:uid="{00000000-0002-0000-0000-00000E000000}">
      <formula1>J37</formula1>
    </dataValidation>
    <dataValidation type="whole" operator="greaterThanOrEqual" allowBlank="1" showInputMessage="1" showErrorMessage="1" errorTitle="Error en la métrica" error="El valor ingresado en la variable B debe ser mayor o igual a la variable A" sqref="J34 J37" xr:uid="{00000000-0002-0000-0000-00000F000000}">
      <formula1>J33</formula1>
    </dataValidation>
    <dataValidation type="whole" operator="lessThan" allowBlank="1" showInputMessage="1" showErrorMessage="1" errorTitle="Error en la métrica" error="El valor ingresado en la variable A debe ser menor al valor ingresado en la variable B._x000a__x000a_" sqref="J33" xr:uid="{00000000-0002-0000-0000-000010000000}">
      <formula1>J34</formula1>
    </dataValidation>
    <dataValidation type="whole" operator="greaterThanOrEqual" allowBlank="1" showInputMessage="1" showErrorMessage="1" errorTitle="Error en la métrica" error="El valor ingresado en la variable B debe ser menor al valor ingresado en la variable A._x000a_" sqref="J49" xr:uid="{00000000-0002-0000-0000-000013000000}">
      <formula1>J48</formula1>
    </dataValidation>
  </dataValidations>
  <pageMargins left="0.7" right="0.7" top="0.75" bottom="0.75" header="0.3" footer="0.3"/>
  <pageSetup orientation="portrait" horizontalDpi="4294967294" vertic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2:R92"/>
  <sheetViews>
    <sheetView showGridLines="0" topLeftCell="D82" zoomScale="60" zoomScaleNormal="60" workbookViewId="0">
      <selection activeCell="K92" sqref="K92"/>
    </sheetView>
  </sheetViews>
  <sheetFormatPr baseColWidth="10" defaultColWidth="11.42578125" defaultRowHeight="14.25" x14ac:dyDescent="0.2"/>
  <cols>
    <col min="1" max="1" width="6.85546875" style="9" customWidth="1"/>
    <col min="2" max="2" width="28.85546875" style="9" customWidth="1"/>
    <col min="3" max="3" width="36" style="9" customWidth="1"/>
    <col min="4" max="4" width="38.7109375" style="9" customWidth="1"/>
    <col min="5" max="5" width="39.7109375" style="9" customWidth="1"/>
    <col min="6" max="6" width="12.85546875" style="9" customWidth="1"/>
    <col min="7" max="7" width="9.85546875" style="9" customWidth="1"/>
    <col min="8" max="8" width="14" style="9" customWidth="1"/>
    <col min="9" max="9" width="10.28515625" style="9" customWidth="1"/>
    <col min="10" max="10" width="11.140625" style="9" customWidth="1"/>
    <col min="11" max="11" width="20.85546875" style="9" customWidth="1"/>
    <col min="12" max="12" width="20.42578125" style="9" customWidth="1"/>
    <col min="13" max="13" width="19.28515625" style="9" customWidth="1"/>
    <col min="14" max="14" width="23" style="22" customWidth="1"/>
    <col min="15" max="15" width="14.28515625" style="9" customWidth="1"/>
    <col min="16" max="16" width="23.28515625" style="9" customWidth="1"/>
    <col min="17" max="17" width="43" style="9" customWidth="1"/>
    <col min="18" max="16384" width="11.42578125" style="9"/>
  </cols>
  <sheetData>
    <row r="2" spans="2:18" s="8" customFormat="1" ht="15" customHeight="1" x14ac:dyDescent="0.2">
      <c r="B2" s="185" t="s">
        <v>262</v>
      </c>
      <c r="C2" s="185"/>
      <c r="D2" s="185"/>
      <c r="E2" s="185"/>
      <c r="F2" s="185"/>
      <c r="G2" s="185"/>
      <c r="H2" s="185"/>
      <c r="I2" s="185"/>
      <c r="J2" s="185"/>
      <c r="K2" s="185"/>
      <c r="L2" s="185"/>
      <c r="M2" s="185"/>
      <c r="N2" s="185"/>
      <c r="O2" s="185"/>
      <c r="P2" s="185"/>
    </row>
    <row r="3" spans="2:18" s="8" customFormat="1" ht="14.25" customHeight="1" x14ac:dyDescent="0.2">
      <c r="B3" s="185"/>
      <c r="C3" s="185"/>
      <c r="D3" s="185"/>
      <c r="E3" s="185"/>
      <c r="F3" s="185"/>
      <c r="G3" s="185"/>
      <c r="H3" s="185"/>
      <c r="I3" s="185"/>
      <c r="J3" s="185"/>
      <c r="K3" s="185"/>
      <c r="L3" s="185"/>
      <c r="M3" s="185"/>
      <c r="N3" s="185"/>
      <c r="O3" s="185"/>
      <c r="P3" s="185"/>
    </row>
    <row r="5" spans="2:18" x14ac:dyDescent="0.2">
      <c r="Q5" s="57"/>
    </row>
    <row r="6" spans="2:18" ht="45.75" customHeight="1" x14ac:dyDescent="0.2">
      <c r="B6" s="77" t="s">
        <v>1</v>
      </c>
      <c r="C6" s="77" t="s">
        <v>2</v>
      </c>
      <c r="D6" s="77" t="s">
        <v>3</v>
      </c>
      <c r="E6" s="77" t="s">
        <v>4</v>
      </c>
      <c r="F6" s="164" t="s">
        <v>5</v>
      </c>
      <c r="G6" s="164"/>
      <c r="H6" s="77" t="s">
        <v>6</v>
      </c>
      <c r="I6" s="164" t="s">
        <v>7</v>
      </c>
      <c r="J6" s="164"/>
      <c r="K6" s="77" t="s">
        <v>8</v>
      </c>
      <c r="L6" s="77" t="s">
        <v>9</v>
      </c>
      <c r="M6" s="77" t="s">
        <v>10</v>
      </c>
      <c r="N6" s="23" t="s">
        <v>11</v>
      </c>
      <c r="O6" s="77" t="s">
        <v>12</v>
      </c>
      <c r="P6" s="60" t="s">
        <v>13</v>
      </c>
      <c r="Q6" s="64" t="s">
        <v>263</v>
      </c>
    </row>
    <row r="7" spans="2:18" ht="39.75" customHeight="1" x14ac:dyDescent="0.2">
      <c r="B7" s="165" t="s">
        <v>264</v>
      </c>
      <c r="C7" s="95" t="s">
        <v>264</v>
      </c>
      <c r="D7" s="166" t="s">
        <v>265</v>
      </c>
      <c r="E7" s="103" t="s">
        <v>266</v>
      </c>
      <c r="F7" s="105">
        <v>1</v>
      </c>
      <c r="G7" s="105"/>
      <c r="H7" s="82" t="s">
        <v>19</v>
      </c>
      <c r="I7" s="11" t="s">
        <v>20</v>
      </c>
      <c r="J7" s="74">
        <v>12</v>
      </c>
      <c r="K7" s="91">
        <f>IF((J9="NA"),"NA",((J9/F7)*10))</f>
        <v>10</v>
      </c>
      <c r="L7" s="91">
        <f>IF(AND(H7="No",H10="No",H13="No"),0,AVERAGE(K7:K15))</f>
        <v>6</v>
      </c>
      <c r="M7" s="87" t="s">
        <v>21</v>
      </c>
      <c r="N7" s="253">
        <v>0.3</v>
      </c>
      <c r="O7" s="228">
        <f>L7*N7</f>
        <v>1.7999999999999998</v>
      </c>
      <c r="P7" s="258">
        <f>SUM(O7,O17,O39,O49,O86)</f>
        <v>6.4888888888888889</v>
      </c>
      <c r="Q7" s="265"/>
    </row>
    <row r="8" spans="2:18" ht="31.5" customHeight="1" x14ac:dyDescent="0.2">
      <c r="B8" s="165"/>
      <c r="C8" s="96"/>
      <c r="D8" s="166" t="s">
        <v>23</v>
      </c>
      <c r="E8" s="90"/>
      <c r="F8" s="105"/>
      <c r="G8" s="105"/>
      <c r="H8" s="90"/>
      <c r="I8" s="12" t="s">
        <v>24</v>
      </c>
      <c r="J8" s="75">
        <v>12</v>
      </c>
      <c r="K8" s="91"/>
      <c r="L8" s="91"/>
      <c r="M8" s="88"/>
      <c r="N8" s="253"/>
      <c r="O8" s="228"/>
      <c r="P8" s="259"/>
      <c r="Q8" s="266"/>
      <c r="R8" s="57"/>
    </row>
    <row r="9" spans="2:18" ht="34.5" customHeight="1" x14ac:dyDescent="0.2">
      <c r="B9" s="165"/>
      <c r="C9" s="96"/>
      <c r="D9" s="166" t="s">
        <v>25</v>
      </c>
      <c r="E9" s="83"/>
      <c r="F9" s="105"/>
      <c r="G9" s="105"/>
      <c r="H9" s="83"/>
      <c r="I9" s="13" t="s">
        <v>26</v>
      </c>
      <c r="J9" s="6">
        <f>IF(AND(H7="Si"),(J7/J8),"NA")</f>
        <v>1</v>
      </c>
      <c r="K9" s="91"/>
      <c r="L9" s="91"/>
      <c r="M9" s="88"/>
      <c r="N9" s="253"/>
      <c r="O9" s="228"/>
      <c r="P9" s="259"/>
      <c r="Q9" s="267"/>
    </row>
    <row r="10" spans="2:18" ht="31.5" customHeight="1" x14ac:dyDescent="0.2">
      <c r="B10" s="165"/>
      <c r="C10" s="96"/>
      <c r="D10" s="166" t="s">
        <v>267</v>
      </c>
      <c r="E10" s="104" t="s">
        <v>268</v>
      </c>
      <c r="F10" s="105">
        <v>1</v>
      </c>
      <c r="G10" s="105"/>
      <c r="H10" s="82" t="s">
        <v>19</v>
      </c>
      <c r="I10" s="11" t="s">
        <v>20</v>
      </c>
      <c r="J10" s="74">
        <v>4</v>
      </c>
      <c r="K10" s="91">
        <f>IF((J12="NA"),"NA",((J12/F10)*10))</f>
        <v>8</v>
      </c>
      <c r="L10" s="91"/>
      <c r="M10" s="88"/>
      <c r="N10" s="253"/>
      <c r="O10" s="228"/>
      <c r="P10" s="259"/>
      <c r="Q10" s="265"/>
    </row>
    <row r="11" spans="2:18" ht="27" customHeight="1" x14ac:dyDescent="0.2">
      <c r="B11" s="165"/>
      <c r="C11" s="96"/>
      <c r="D11" s="166"/>
      <c r="E11" s="104"/>
      <c r="F11" s="105"/>
      <c r="G11" s="105"/>
      <c r="H11" s="90"/>
      <c r="I11" s="12" t="s">
        <v>24</v>
      </c>
      <c r="J11" s="75">
        <v>5</v>
      </c>
      <c r="K11" s="91"/>
      <c r="L11" s="91"/>
      <c r="M11" s="88"/>
      <c r="N11" s="253"/>
      <c r="O11" s="228"/>
      <c r="P11" s="259"/>
      <c r="Q11" s="266"/>
      <c r="R11" s="57"/>
    </row>
    <row r="12" spans="2:18" ht="27" customHeight="1" x14ac:dyDescent="0.2">
      <c r="B12" s="165"/>
      <c r="C12" s="96"/>
      <c r="D12" s="166"/>
      <c r="E12" s="104"/>
      <c r="F12" s="105"/>
      <c r="G12" s="105"/>
      <c r="H12" s="83"/>
      <c r="I12" s="13" t="s">
        <v>26</v>
      </c>
      <c r="J12" s="6">
        <f>IF(AND(H10="Si"),(J10/J11),"NA")</f>
        <v>0.8</v>
      </c>
      <c r="K12" s="91"/>
      <c r="L12" s="91"/>
      <c r="M12" s="88"/>
      <c r="N12" s="253"/>
      <c r="O12" s="228"/>
      <c r="P12" s="259"/>
      <c r="Q12" s="267"/>
      <c r="R12" s="57"/>
    </row>
    <row r="13" spans="2:18" ht="38.25" customHeight="1" x14ac:dyDescent="0.2">
      <c r="B13" s="165"/>
      <c r="C13" s="96"/>
      <c r="D13" s="166" t="s">
        <v>269</v>
      </c>
      <c r="E13" s="104" t="s">
        <v>270</v>
      </c>
      <c r="F13" s="104">
        <v>0</v>
      </c>
      <c r="G13" s="105"/>
      <c r="H13" s="82" t="s">
        <v>19</v>
      </c>
      <c r="I13" s="11" t="s">
        <v>20</v>
      </c>
      <c r="J13" s="74">
        <v>1</v>
      </c>
      <c r="K13" s="122">
        <f>IF((J15="NA"),"NA",((1-J15)*10))</f>
        <v>0</v>
      </c>
      <c r="L13" s="91"/>
      <c r="M13" s="88"/>
      <c r="N13" s="253"/>
      <c r="O13" s="228"/>
      <c r="P13" s="259"/>
      <c r="Q13" s="265"/>
      <c r="R13" s="57"/>
    </row>
    <row r="14" spans="2:18" ht="32.25" customHeight="1" x14ac:dyDescent="0.2">
      <c r="B14" s="165"/>
      <c r="C14" s="96"/>
      <c r="D14" s="166"/>
      <c r="E14" s="105"/>
      <c r="F14" s="105"/>
      <c r="G14" s="105"/>
      <c r="H14" s="90"/>
      <c r="I14" s="12" t="s">
        <v>24</v>
      </c>
      <c r="J14" s="75">
        <v>1</v>
      </c>
      <c r="K14" s="122"/>
      <c r="L14" s="91"/>
      <c r="M14" s="88"/>
      <c r="N14" s="253"/>
      <c r="O14" s="228"/>
      <c r="P14" s="259"/>
      <c r="Q14" s="266"/>
      <c r="R14" s="57"/>
    </row>
    <row r="15" spans="2:18" ht="33.75" customHeight="1" x14ac:dyDescent="0.2">
      <c r="B15" s="165"/>
      <c r="C15" s="97"/>
      <c r="D15" s="166"/>
      <c r="E15" s="105"/>
      <c r="F15" s="105"/>
      <c r="G15" s="105"/>
      <c r="H15" s="83"/>
      <c r="I15" s="13" t="s">
        <v>87</v>
      </c>
      <c r="J15" s="6">
        <f>IF(AND(H13="Si"),((J13/J14)),"NA")</f>
        <v>1</v>
      </c>
      <c r="K15" s="122"/>
      <c r="L15" s="91"/>
      <c r="M15" s="89"/>
      <c r="N15" s="253"/>
      <c r="O15" s="228"/>
      <c r="P15" s="259"/>
      <c r="Q15" s="268"/>
    </row>
    <row r="16" spans="2:18" ht="5.25" customHeight="1" x14ac:dyDescent="0.2">
      <c r="B16" s="140"/>
      <c r="C16" s="141"/>
      <c r="D16" s="141"/>
      <c r="E16" s="141"/>
      <c r="F16" s="141"/>
      <c r="G16" s="141"/>
      <c r="H16" s="141"/>
      <c r="I16" s="141"/>
      <c r="J16" s="141"/>
      <c r="K16" s="141"/>
      <c r="L16" s="141"/>
      <c r="M16" s="141"/>
      <c r="N16" s="141"/>
      <c r="O16" s="141"/>
      <c r="P16" s="260"/>
      <c r="Q16" s="65"/>
    </row>
    <row r="17" spans="1:18" ht="38.25" customHeight="1" x14ac:dyDescent="0.2">
      <c r="B17" s="143" t="s">
        <v>271</v>
      </c>
      <c r="C17" s="95" t="s">
        <v>271</v>
      </c>
      <c r="D17" s="166" t="s">
        <v>272</v>
      </c>
      <c r="E17" s="117" t="s">
        <v>273</v>
      </c>
      <c r="F17" s="121">
        <v>1</v>
      </c>
      <c r="G17" s="121"/>
      <c r="H17" s="82" t="s">
        <v>19</v>
      </c>
      <c r="I17" s="11" t="s">
        <v>20</v>
      </c>
      <c r="J17" s="74">
        <v>5</v>
      </c>
      <c r="K17" s="122">
        <f>IF((J19="NA"),"NA",((J19)*10))</f>
        <v>3.333333333333333</v>
      </c>
      <c r="L17" s="106">
        <f>IF(AND(H17="No",H20="No",H23="No",H26="No",H29="No",H32="No",H35="No"),0,AVERAGE(K17:K37))</f>
        <v>6.6666666666666661</v>
      </c>
      <c r="M17" s="87" t="s">
        <v>40</v>
      </c>
      <c r="N17" s="246">
        <v>0.2</v>
      </c>
      <c r="O17" s="131">
        <f>L17*N17</f>
        <v>1.3333333333333333</v>
      </c>
      <c r="P17" s="259"/>
      <c r="Q17" s="265"/>
    </row>
    <row r="18" spans="1:18" ht="30" customHeight="1" x14ac:dyDescent="0.2">
      <c r="B18" s="144"/>
      <c r="C18" s="96"/>
      <c r="D18" s="166"/>
      <c r="E18" s="118"/>
      <c r="F18" s="121"/>
      <c r="G18" s="121"/>
      <c r="H18" s="90"/>
      <c r="I18" s="12" t="s">
        <v>24</v>
      </c>
      <c r="J18" s="75">
        <v>15</v>
      </c>
      <c r="K18" s="122"/>
      <c r="L18" s="107"/>
      <c r="M18" s="88"/>
      <c r="N18" s="247"/>
      <c r="O18" s="132"/>
      <c r="P18" s="259"/>
      <c r="Q18" s="266"/>
    </row>
    <row r="19" spans="1:18" s="14" customFormat="1" ht="36" customHeight="1" x14ac:dyDescent="0.2">
      <c r="A19" s="9"/>
      <c r="B19" s="144"/>
      <c r="C19" s="96"/>
      <c r="D19" s="166"/>
      <c r="E19" s="119"/>
      <c r="F19" s="121"/>
      <c r="G19" s="121"/>
      <c r="H19" s="83"/>
      <c r="I19" s="13" t="s">
        <v>87</v>
      </c>
      <c r="J19" s="6">
        <f>IF(AND(H17="Si"),((J17/J18)),"NA")</f>
        <v>0.33333333333333331</v>
      </c>
      <c r="K19" s="122"/>
      <c r="L19" s="107"/>
      <c r="M19" s="88"/>
      <c r="N19" s="247"/>
      <c r="O19" s="132"/>
      <c r="P19" s="259"/>
      <c r="Q19" s="267"/>
    </row>
    <row r="20" spans="1:18" s="14" customFormat="1" ht="35.25" customHeight="1" x14ac:dyDescent="0.2">
      <c r="A20" s="9"/>
      <c r="B20" s="144"/>
      <c r="C20" s="96"/>
      <c r="D20" s="166" t="s">
        <v>274</v>
      </c>
      <c r="E20" s="254" t="s">
        <v>275</v>
      </c>
      <c r="F20" s="105">
        <v>1</v>
      </c>
      <c r="G20" s="105"/>
      <c r="H20" s="82" t="s">
        <v>19</v>
      </c>
      <c r="I20" s="11" t="s">
        <v>20</v>
      </c>
      <c r="J20" s="74">
        <v>60</v>
      </c>
      <c r="K20" s="91">
        <f>IF((J22="NA"),"NA",((J22/F20)*10))</f>
        <v>3.333333333333333</v>
      </c>
      <c r="L20" s="107"/>
      <c r="M20" s="88"/>
      <c r="N20" s="247"/>
      <c r="O20" s="132"/>
      <c r="P20" s="259"/>
      <c r="Q20" s="269"/>
      <c r="R20" s="66"/>
    </row>
    <row r="21" spans="1:18" s="14" customFormat="1" ht="37.5" customHeight="1" x14ac:dyDescent="0.2">
      <c r="A21" s="9"/>
      <c r="B21" s="144"/>
      <c r="C21" s="96"/>
      <c r="D21" s="166"/>
      <c r="E21" s="255"/>
      <c r="F21" s="105"/>
      <c r="G21" s="105"/>
      <c r="H21" s="90"/>
      <c r="I21" s="12" t="s">
        <v>24</v>
      </c>
      <c r="J21" s="75">
        <v>180</v>
      </c>
      <c r="K21" s="91"/>
      <c r="L21" s="107"/>
      <c r="M21" s="88"/>
      <c r="N21" s="247"/>
      <c r="O21" s="132"/>
      <c r="P21" s="259"/>
      <c r="Q21" s="270"/>
      <c r="R21" s="66"/>
    </row>
    <row r="22" spans="1:18" s="14" customFormat="1" ht="42" customHeight="1" x14ac:dyDescent="0.2">
      <c r="A22" s="9"/>
      <c r="B22" s="144"/>
      <c r="C22" s="96"/>
      <c r="D22" s="166"/>
      <c r="E22" s="256"/>
      <c r="F22" s="105"/>
      <c r="G22" s="105"/>
      <c r="H22" s="83"/>
      <c r="I22" s="13" t="s">
        <v>26</v>
      </c>
      <c r="J22" s="6">
        <f>IF(AND(H20="Si"),(J20/J21),"NA")</f>
        <v>0.33333333333333331</v>
      </c>
      <c r="K22" s="91"/>
      <c r="L22" s="107"/>
      <c r="M22" s="88"/>
      <c r="N22" s="247"/>
      <c r="O22" s="132"/>
      <c r="P22" s="259"/>
      <c r="Q22" s="271"/>
      <c r="R22" s="66"/>
    </row>
    <row r="23" spans="1:18" s="14" customFormat="1" ht="36" customHeight="1" x14ac:dyDescent="0.2">
      <c r="A23" s="9"/>
      <c r="B23" s="144"/>
      <c r="C23" s="96"/>
      <c r="D23" s="95" t="s">
        <v>276</v>
      </c>
      <c r="E23" s="120" t="s">
        <v>277</v>
      </c>
      <c r="F23" s="120" t="s">
        <v>278</v>
      </c>
      <c r="G23" s="121"/>
      <c r="H23" s="82" t="s">
        <v>19</v>
      </c>
      <c r="I23" s="15" t="s">
        <v>20</v>
      </c>
      <c r="J23" s="76">
        <v>12</v>
      </c>
      <c r="K23" s="106">
        <f>IF((J25="NA"),"NA",IF(J23&gt;=10,10,((J23/10)*10)))</f>
        <v>10</v>
      </c>
      <c r="L23" s="107"/>
      <c r="M23" s="88"/>
      <c r="N23" s="247"/>
      <c r="O23" s="132"/>
      <c r="P23" s="259"/>
      <c r="Q23" s="272"/>
      <c r="R23" s="58"/>
    </row>
    <row r="24" spans="1:18" s="14" customFormat="1" ht="39.75" customHeight="1" x14ac:dyDescent="0.2">
      <c r="A24" s="9"/>
      <c r="B24" s="144"/>
      <c r="C24" s="96"/>
      <c r="D24" s="96"/>
      <c r="E24" s="120"/>
      <c r="F24" s="121"/>
      <c r="G24" s="121"/>
      <c r="H24" s="90"/>
      <c r="I24" s="16" t="s">
        <v>35</v>
      </c>
      <c r="J24" s="28">
        <v>15</v>
      </c>
      <c r="K24" s="107"/>
      <c r="L24" s="107"/>
      <c r="M24" s="88"/>
      <c r="N24" s="247"/>
      <c r="O24" s="132"/>
      <c r="P24" s="259"/>
      <c r="Q24" s="273"/>
      <c r="R24" s="58"/>
    </row>
    <row r="25" spans="1:18" s="14" customFormat="1" ht="29.25" customHeight="1" x14ac:dyDescent="0.2">
      <c r="A25" s="9"/>
      <c r="B25" s="144"/>
      <c r="C25" s="96"/>
      <c r="D25" s="97"/>
      <c r="E25" s="120"/>
      <c r="F25" s="121"/>
      <c r="G25" s="121"/>
      <c r="H25" s="83"/>
      <c r="I25" s="17" t="s">
        <v>26</v>
      </c>
      <c r="J25" s="7" t="str">
        <f>IF((H23="Si"),(J23&amp;"/"&amp;J24&amp;"min"),"NA")</f>
        <v>12/15min</v>
      </c>
      <c r="K25" s="108"/>
      <c r="L25" s="107"/>
      <c r="M25" s="88"/>
      <c r="N25" s="247"/>
      <c r="O25" s="132"/>
      <c r="P25" s="259"/>
      <c r="Q25" s="274"/>
    </row>
    <row r="26" spans="1:18" s="14" customFormat="1" ht="36" customHeight="1" x14ac:dyDescent="0.2">
      <c r="A26" s="9"/>
      <c r="B26" s="144"/>
      <c r="C26" s="96"/>
      <c r="D26" s="166" t="s">
        <v>279</v>
      </c>
      <c r="E26" s="98" t="s">
        <v>280</v>
      </c>
      <c r="F26" s="99">
        <v>1</v>
      </c>
      <c r="G26" s="99"/>
      <c r="H26" s="82" t="s">
        <v>19</v>
      </c>
      <c r="I26" s="11" t="s">
        <v>20</v>
      </c>
      <c r="J26" s="74">
        <v>12</v>
      </c>
      <c r="K26" s="91">
        <f>IF((J28="NA"),"NA",((J28/F26)*10))</f>
        <v>10</v>
      </c>
      <c r="L26" s="107"/>
      <c r="M26" s="88"/>
      <c r="N26" s="247"/>
      <c r="O26" s="132"/>
      <c r="P26" s="259"/>
      <c r="Q26" s="272"/>
      <c r="R26" s="58"/>
    </row>
    <row r="27" spans="1:18" s="14" customFormat="1" ht="34.5" customHeight="1" x14ac:dyDescent="0.2">
      <c r="A27" s="9"/>
      <c r="B27" s="144"/>
      <c r="C27" s="96"/>
      <c r="D27" s="166"/>
      <c r="E27" s="98"/>
      <c r="F27" s="99"/>
      <c r="G27" s="99"/>
      <c r="H27" s="90"/>
      <c r="I27" s="12" t="s">
        <v>24</v>
      </c>
      <c r="J27" s="75">
        <v>12</v>
      </c>
      <c r="K27" s="91"/>
      <c r="L27" s="107"/>
      <c r="M27" s="88"/>
      <c r="N27" s="247"/>
      <c r="O27" s="132"/>
      <c r="P27" s="259"/>
      <c r="Q27" s="273"/>
    </row>
    <row r="28" spans="1:18" s="14" customFormat="1" ht="36.75" customHeight="1" x14ac:dyDescent="0.2">
      <c r="A28" s="9"/>
      <c r="B28" s="144"/>
      <c r="C28" s="96"/>
      <c r="D28" s="166"/>
      <c r="E28" s="98"/>
      <c r="F28" s="99"/>
      <c r="G28" s="99"/>
      <c r="H28" s="83"/>
      <c r="I28" s="13" t="s">
        <v>26</v>
      </c>
      <c r="J28" s="6">
        <f>IF(AND(H26="Si"),(J26/J27),"NA")</f>
        <v>1</v>
      </c>
      <c r="K28" s="91"/>
      <c r="L28" s="107"/>
      <c r="M28" s="88"/>
      <c r="N28" s="247"/>
      <c r="O28" s="132"/>
      <c r="P28" s="259"/>
      <c r="Q28" s="274"/>
    </row>
    <row r="29" spans="1:18" s="14" customFormat="1" ht="36.75" customHeight="1" x14ac:dyDescent="0.2">
      <c r="A29" s="9"/>
      <c r="B29" s="144"/>
      <c r="C29" s="96"/>
      <c r="D29" s="166" t="s">
        <v>281</v>
      </c>
      <c r="E29" s="120" t="s">
        <v>282</v>
      </c>
      <c r="F29" s="121">
        <v>1</v>
      </c>
      <c r="G29" s="121"/>
      <c r="H29" s="82" t="s">
        <v>19</v>
      </c>
      <c r="I29" s="11" t="s">
        <v>20</v>
      </c>
      <c r="J29" s="74">
        <v>12</v>
      </c>
      <c r="K29" s="91">
        <f>IF((J31="NA"),"NA",((J31/F29)*10))</f>
        <v>10</v>
      </c>
      <c r="L29" s="107"/>
      <c r="M29" s="88"/>
      <c r="N29" s="247"/>
      <c r="O29" s="132"/>
      <c r="P29" s="259"/>
      <c r="Q29" s="272"/>
    </row>
    <row r="30" spans="1:18" s="14" customFormat="1" ht="36.75" customHeight="1" x14ac:dyDescent="0.2">
      <c r="A30" s="9"/>
      <c r="B30" s="144"/>
      <c r="C30" s="96"/>
      <c r="D30" s="166"/>
      <c r="E30" s="120"/>
      <c r="F30" s="121"/>
      <c r="G30" s="121"/>
      <c r="H30" s="90"/>
      <c r="I30" s="12" t="s">
        <v>24</v>
      </c>
      <c r="J30" s="75">
        <v>12</v>
      </c>
      <c r="K30" s="91"/>
      <c r="L30" s="107"/>
      <c r="M30" s="88"/>
      <c r="N30" s="247"/>
      <c r="O30" s="132"/>
      <c r="P30" s="259"/>
      <c r="Q30" s="273"/>
    </row>
    <row r="31" spans="1:18" s="14" customFormat="1" ht="36.75" customHeight="1" x14ac:dyDescent="0.2">
      <c r="A31" s="9"/>
      <c r="B31" s="144"/>
      <c r="C31" s="96"/>
      <c r="D31" s="166"/>
      <c r="E31" s="120"/>
      <c r="F31" s="121"/>
      <c r="G31" s="121"/>
      <c r="H31" s="83"/>
      <c r="I31" s="13" t="s">
        <v>26</v>
      </c>
      <c r="J31" s="6">
        <f>IF(AND(H29="Si"),(J29/J30),"NA")</f>
        <v>1</v>
      </c>
      <c r="K31" s="91"/>
      <c r="L31" s="107"/>
      <c r="M31" s="88"/>
      <c r="N31" s="247"/>
      <c r="O31" s="132"/>
      <c r="P31" s="259"/>
      <c r="Q31" s="274"/>
    </row>
    <row r="32" spans="1:18" s="14" customFormat="1" ht="36.75" customHeight="1" x14ac:dyDescent="0.2">
      <c r="A32" s="9"/>
      <c r="B32" s="144"/>
      <c r="C32" s="96"/>
      <c r="D32" s="166" t="s">
        <v>283</v>
      </c>
      <c r="E32" s="117" t="s">
        <v>284</v>
      </c>
      <c r="F32" s="121">
        <v>0</v>
      </c>
      <c r="G32" s="121"/>
      <c r="H32" s="82" t="s">
        <v>19</v>
      </c>
      <c r="I32" s="11" t="s">
        <v>20</v>
      </c>
      <c r="J32" s="74">
        <v>15</v>
      </c>
      <c r="K32" s="122">
        <f>IF((J34="NA"),"NA",((1-J34)*10))</f>
        <v>2.5</v>
      </c>
      <c r="L32" s="107"/>
      <c r="M32" s="88"/>
      <c r="N32" s="247"/>
      <c r="O32" s="132"/>
      <c r="P32" s="259"/>
      <c r="Q32" s="272"/>
    </row>
    <row r="33" spans="1:18" s="14" customFormat="1" ht="36.75" customHeight="1" x14ac:dyDescent="0.2">
      <c r="A33" s="9"/>
      <c r="B33" s="144"/>
      <c r="C33" s="96"/>
      <c r="D33" s="166"/>
      <c r="E33" s="118"/>
      <c r="F33" s="121"/>
      <c r="G33" s="121"/>
      <c r="H33" s="90"/>
      <c r="I33" s="12" t="s">
        <v>24</v>
      </c>
      <c r="J33" s="75">
        <v>20</v>
      </c>
      <c r="K33" s="122"/>
      <c r="L33" s="107"/>
      <c r="M33" s="88"/>
      <c r="N33" s="247"/>
      <c r="O33" s="132"/>
      <c r="P33" s="259"/>
      <c r="Q33" s="273"/>
    </row>
    <row r="34" spans="1:18" s="14" customFormat="1" ht="36.75" customHeight="1" x14ac:dyDescent="0.2">
      <c r="A34" s="9"/>
      <c r="B34" s="144"/>
      <c r="C34" s="96"/>
      <c r="D34" s="166"/>
      <c r="E34" s="119"/>
      <c r="F34" s="121"/>
      <c r="G34" s="121"/>
      <c r="H34" s="83"/>
      <c r="I34" s="13" t="s">
        <v>87</v>
      </c>
      <c r="J34" s="6">
        <f>IF(AND(H32="Si"),((J32/J33)),"NA")</f>
        <v>0.75</v>
      </c>
      <c r="K34" s="122"/>
      <c r="L34" s="107"/>
      <c r="M34" s="88"/>
      <c r="N34" s="247"/>
      <c r="O34" s="132"/>
      <c r="P34" s="259"/>
      <c r="Q34" s="274"/>
    </row>
    <row r="35" spans="1:18" ht="45.75" customHeight="1" x14ac:dyDescent="0.2">
      <c r="B35" s="144"/>
      <c r="C35" s="96"/>
      <c r="D35" s="95" t="s">
        <v>285</v>
      </c>
      <c r="E35" s="103" t="s">
        <v>286</v>
      </c>
      <c r="F35" s="111">
        <v>1</v>
      </c>
      <c r="G35" s="112"/>
      <c r="H35" s="82" t="s">
        <v>19</v>
      </c>
      <c r="I35" s="11" t="s">
        <v>20</v>
      </c>
      <c r="J35" s="74">
        <v>24</v>
      </c>
      <c r="K35" s="91">
        <f>IF((J37="NA"),"NA",((J37/F35)*10))</f>
        <v>7.5</v>
      </c>
      <c r="L35" s="107"/>
      <c r="M35" s="88"/>
      <c r="N35" s="247"/>
      <c r="O35" s="132"/>
      <c r="P35" s="259"/>
      <c r="Q35" s="265"/>
    </row>
    <row r="36" spans="1:18" ht="42.75" customHeight="1" x14ac:dyDescent="0.2">
      <c r="B36" s="144"/>
      <c r="C36" s="96"/>
      <c r="D36" s="96"/>
      <c r="E36" s="90"/>
      <c r="F36" s="113"/>
      <c r="G36" s="114"/>
      <c r="H36" s="90"/>
      <c r="I36" s="12" t="s">
        <v>24</v>
      </c>
      <c r="J36" s="75">
        <v>32</v>
      </c>
      <c r="K36" s="91"/>
      <c r="L36" s="107"/>
      <c r="M36" s="88"/>
      <c r="N36" s="247"/>
      <c r="O36" s="132"/>
      <c r="P36" s="259"/>
      <c r="Q36" s="266"/>
    </row>
    <row r="37" spans="1:18" ht="39.75" customHeight="1" x14ac:dyDescent="0.2">
      <c r="B37" s="145"/>
      <c r="C37" s="97"/>
      <c r="D37" s="97"/>
      <c r="E37" s="83"/>
      <c r="F37" s="115"/>
      <c r="G37" s="116"/>
      <c r="H37" s="83"/>
      <c r="I37" s="13" t="s">
        <v>26</v>
      </c>
      <c r="J37" s="6">
        <f>IF(AND(H35="Si"),(J35/J36),"NA")</f>
        <v>0.75</v>
      </c>
      <c r="K37" s="91"/>
      <c r="L37" s="108"/>
      <c r="M37" s="89"/>
      <c r="N37" s="248"/>
      <c r="O37" s="133"/>
      <c r="P37" s="259"/>
      <c r="Q37" s="268"/>
    </row>
    <row r="38" spans="1:18" ht="5.25" customHeight="1" x14ac:dyDescent="0.2">
      <c r="B38" s="92"/>
      <c r="C38" s="93"/>
      <c r="D38" s="93"/>
      <c r="E38" s="93"/>
      <c r="F38" s="93"/>
      <c r="G38" s="93"/>
      <c r="H38" s="93"/>
      <c r="I38" s="93"/>
      <c r="J38" s="93"/>
      <c r="K38" s="93"/>
      <c r="L38" s="93"/>
      <c r="M38" s="93"/>
      <c r="N38" s="93"/>
      <c r="O38" s="93"/>
      <c r="P38" s="260"/>
      <c r="Q38" s="65"/>
    </row>
    <row r="39" spans="1:18" ht="33.75" customHeight="1" x14ac:dyDescent="0.2">
      <c r="B39" s="165" t="s">
        <v>287</v>
      </c>
      <c r="C39" s="95" t="s">
        <v>288</v>
      </c>
      <c r="D39" s="95" t="s">
        <v>289</v>
      </c>
      <c r="E39" s="103" t="s">
        <v>290</v>
      </c>
      <c r="F39" s="111">
        <v>1</v>
      </c>
      <c r="G39" s="112"/>
      <c r="H39" s="82" t="s">
        <v>19</v>
      </c>
      <c r="I39" s="11" t="s">
        <v>20</v>
      </c>
      <c r="J39" s="74">
        <v>7</v>
      </c>
      <c r="K39" s="91">
        <f>IF((J41="NA"),"NA",((J41/F39)*10))</f>
        <v>7</v>
      </c>
      <c r="L39" s="91">
        <f>IF(AND(H39="No",H42="No",H45="No"),0,AVERAGE(K39:K47))</f>
        <v>5.8888888888888893</v>
      </c>
      <c r="M39" s="87" t="s">
        <v>21</v>
      </c>
      <c r="N39" s="257">
        <v>0.4</v>
      </c>
      <c r="O39" s="228">
        <f>L39*N39</f>
        <v>2.3555555555555556</v>
      </c>
      <c r="P39" s="259"/>
      <c r="Q39" s="265"/>
    </row>
    <row r="40" spans="1:18" ht="33.75" customHeight="1" x14ac:dyDescent="0.2">
      <c r="B40" s="165"/>
      <c r="C40" s="96"/>
      <c r="D40" s="96"/>
      <c r="E40" s="90"/>
      <c r="F40" s="113"/>
      <c r="G40" s="114"/>
      <c r="H40" s="90"/>
      <c r="I40" s="12" t="s">
        <v>24</v>
      </c>
      <c r="J40" s="75">
        <v>10</v>
      </c>
      <c r="K40" s="91"/>
      <c r="L40" s="167"/>
      <c r="M40" s="88"/>
      <c r="N40" s="257"/>
      <c r="O40" s="228"/>
      <c r="P40" s="259"/>
      <c r="Q40" s="266"/>
      <c r="R40" s="57"/>
    </row>
    <row r="41" spans="1:18" ht="35.25" customHeight="1" x14ac:dyDescent="0.2">
      <c r="B41" s="165"/>
      <c r="C41" s="96"/>
      <c r="D41" s="97"/>
      <c r="E41" s="83"/>
      <c r="F41" s="115"/>
      <c r="G41" s="116"/>
      <c r="H41" s="83"/>
      <c r="I41" s="13" t="s">
        <v>26</v>
      </c>
      <c r="J41" s="6">
        <f>IF(AND(H39="Si"),(J39/J40),"NA")</f>
        <v>0.7</v>
      </c>
      <c r="K41" s="91"/>
      <c r="L41" s="167"/>
      <c r="M41" s="88"/>
      <c r="N41" s="257"/>
      <c r="O41" s="228"/>
      <c r="P41" s="259"/>
      <c r="Q41" s="267"/>
    </row>
    <row r="42" spans="1:18" ht="39" customHeight="1" x14ac:dyDescent="0.2">
      <c r="B42" s="165"/>
      <c r="C42" s="96"/>
      <c r="D42" s="95" t="s">
        <v>291</v>
      </c>
      <c r="E42" s="103" t="s">
        <v>292</v>
      </c>
      <c r="F42" s="111">
        <v>1</v>
      </c>
      <c r="G42" s="112"/>
      <c r="H42" s="82" t="s">
        <v>19</v>
      </c>
      <c r="I42" s="11" t="s">
        <v>20</v>
      </c>
      <c r="J42" s="74">
        <v>2</v>
      </c>
      <c r="K42" s="91">
        <f>IF((J44="NA"),"NA",((J44/F42)*10))</f>
        <v>4</v>
      </c>
      <c r="L42" s="167"/>
      <c r="M42" s="88"/>
      <c r="N42" s="257"/>
      <c r="O42" s="228"/>
      <c r="P42" s="259"/>
      <c r="Q42" s="265"/>
    </row>
    <row r="43" spans="1:18" ht="36.75" customHeight="1" x14ac:dyDescent="0.2">
      <c r="B43" s="165"/>
      <c r="C43" s="96"/>
      <c r="D43" s="96"/>
      <c r="E43" s="90"/>
      <c r="F43" s="113"/>
      <c r="G43" s="114"/>
      <c r="H43" s="90"/>
      <c r="I43" s="12" t="s">
        <v>24</v>
      </c>
      <c r="J43" s="75">
        <v>5</v>
      </c>
      <c r="K43" s="91"/>
      <c r="L43" s="167"/>
      <c r="M43" s="88"/>
      <c r="N43" s="257"/>
      <c r="O43" s="228"/>
      <c r="P43" s="259"/>
      <c r="Q43" s="266"/>
      <c r="R43" s="67"/>
    </row>
    <row r="44" spans="1:18" ht="36" customHeight="1" x14ac:dyDescent="0.2">
      <c r="B44" s="165"/>
      <c r="C44" s="96"/>
      <c r="D44" s="97"/>
      <c r="E44" s="83"/>
      <c r="F44" s="115"/>
      <c r="G44" s="116"/>
      <c r="H44" s="83"/>
      <c r="I44" s="13" t="s">
        <v>26</v>
      </c>
      <c r="J44" s="6">
        <f>IF(AND(H42="Si"),(J42/J43),"NA")</f>
        <v>0.4</v>
      </c>
      <c r="K44" s="91"/>
      <c r="L44" s="167"/>
      <c r="M44" s="88"/>
      <c r="N44" s="257"/>
      <c r="O44" s="228"/>
      <c r="P44" s="259"/>
      <c r="Q44" s="267"/>
    </row>
    <row r="45" spans="1:18" ht="43.5" customHeight="1" x14ac:dyDescent="0.2">
      <c r="B45" s="165"/>
      <c r="C45" s="96"/>
      <c r="D45" s="123" t="s">
        <v>293</v>
      </c>
      <c r="E45" s="103" t="s">
        <v>294</v>
      </c>
      <c r="F45" s="104">
        <v>0</v>
      </c>
      <c r="G45" s="105"/>
      <c r="H45" s="82" t="s">
        <v>19</v>
      </c>
      <c r="I45" s="11" t="s">
        <v>20</v>
      </c>
      <c r="J45" s="74">
        <v>1</v>
      </c>
      <c r="K45" s="122">
        <f>IF((J47="NA"),"NA",((1-J47)*10))</f>
        <v>6.6666666666666679</v>
      </c>
      <c r="L45" s="167"/>
      <c r="M45" s="88"/>
      <c r="N45" s="257"/>
      <c r="O45" s="228"/>
      <c r="P45" s="259"/>
      <c r="Q45" s="262" t="str">
        <f>IF(N92=100%," ","ERROR:
Revisar la columna PORCENTAJE DE IMPORTANCIA, los valores que fueron ingresados en las distintas celdas no deben sobrepasar el 100%")</f>
        <v xml:space="preserve"> </v>
      </c>
    </row>
    <row r="46" spans="1:18" ht="34.5" customHeight="1" x14ac:dyDescent="0.2">
      <c r="B46" s="165"/>
      <c r="C46" s="96"/>
      <c r="D46" s="157"/>
      <c r="E46" s="90"/>
      <c r="F46" s="105"/>
      <c r="G46" s="105"/>
      <c r="H46" s="90"/>
      <c r="I46" s="12" t="s">
        <v>24</v>
      </c>
      <c r="J46" s="75">
        <v>3</v>
      </c>
      <c r="K46" s="122"/>
      <c r="L46" s="167"/>
      <c r="M46" s="88"/>
      <c r="N46" s="257"/>
      <c r="O46" s="228"/>
      <c r="P46" s="259"/>
      <c r="Q46" s="263"/>
    </row>
    <row r="47" spans="1:18" ht="34.5" customHeight="1" x14ac:dyDescent="0.2">
      <c r="B47" s="165"/>
      <c r="C47" s="96"/>
      <c r="D47" s="124"/>
      <c r="E47" s="83"/>
      <c r="F47" s="105"/>
      <c r="G47" s="105"/>
      <c r="H47" s="83"/>
      <c r="I47" s="13" t="s">
        <v>87</v>
      </c>
      <c r="J47" s="6">
        <f>IF(AND(H45="Si"),((J45/J46)),"NA")</f>
        <v>0.33333333333333331</v>
      </c>
      <c r="K47" s="122"/>
      <c r="L47" s="167"/>
      <c r="M47" s="89"/>
      <c r="N47" s="257"/>
      <c r="O47" s="228"/>
      <c r="P47" s="259"/>
      <c r="Q47" s="264"/>
    </row>
    <row r="48" spans="1:18" ht="5.25" customHeight="1" x14ac:dyDescent="0.2">
      <c r="B48" s="92"/>
      <c r="C48" s="93"/>
      <c r="D48" s="93"/>
      <c r="E48" s="93"/>
      <c r="F48" s="93"/>
      <c r="G48" s="93"/>
      <c r="H48" s="93"/>
      <c r="I48" s="93"/>
      <c r="J48" s="93"/>
      <c r="K48" s="93"/>
      <c r="L48" s="93"/>
      <c r="M48" s="93"/>
      <c r="N48" s="93"/>
      <c r="O48" s="93"/>
      <c r="P48" s="259"/>
      <c r="Q48" s="68"/>
    </row>
    <row r="49" spans="2:18" ht="29.25" customHeight="1" x14ac:dyDescent="0.2">
      <c r="B49" s="144" t="s">
        <v>295</v>
      </c>
      <c r="C49" s="100" t="s">
        <v>296</v>
      </c>
      <c r="D49" s="100" t="s">
        <v>297</v>
      </c>
      <c r="E49" s="117" t="s">
        <v>298</v>
      </c>
      <c r="F49" s="120">
        <v>1</v>
      </c>
      <c r="G49" s="121"/>
      <c r="H49" s="82" t="s">
        <v>29</v>
      </c>
      <c r="I49" s="11" t="s">
        <v>20</v>
      </c>
      <c r="J49" s="74">
        <v>0</v>
      </c>
      <c r="K49" s="91" t="str">
        <f>IF((J51="NA"),"NA",((J51/F49)*10))</f>
        <v>NA</v>
      </c>
      <c r="L49" s="107">
        <f>IF(AND(H49="No",H52="No",H55="No",H58="No",H61="No",H64="No",H67="No",H70="No",H73="No",H76="No",H79="No",H82="No"),0,AVERAGE(K49:K84))</f>
        <v>10</v>
      </c>
      <c r="M49" s="87" t="s">
        <v>40</v>
      </c>
      <c r="N49" s="247">
        <v>0.1</v>
      </c>
      <c r="O49" s="132">
        <f>L49*N49</f>
        <v>1</v>
      </c>
      <c r="P49" s="259"/>
      <c r="Q49" s="201" t="s">
        <v>299</v>
      </c>
    </row>
    <row r="50" spans="2:18" ht="32.25" customHeight="1" x14ac:dyDescent="0.2">
      <c r="B50" s="144"/>
      <c r="C50" s="101"/>
      <c r="D50" s="101"/>
      <c r="E50" s="170"/>
      <c r="F50" s="121"/>
      <c r="G50" s="121"/>
      <c r="H50" s="90"/>
      <c r="I50" s="12" t="s">
        <v>24</v>
      </c>
      <c r="J50" s="75">
        <v>1</v>
      </c>
      <c r="K50" s="91"/>
      <c r="L50" s="80"/>
      <c r="M50" s="88"/>
      <c r="N50" s="247"/>
      <c r="O50" s="132"/>
      <c r="P50" s="259"/>
      <c r="Q50" s="202"/>
    </row>
    <row r="51" spans="2:18" ht="30" customHeight="1" x14ac:dyDescent="0.2">
      <c r="B51" s="144"/>
      <c r="C51" s="101"/>
      <c r="D51" s="102"/>
      <c r="E51" s="134"/>
      <c r="F51" s="121"/>
      <c r="G51" s="121"/>
      <c r="H51" s="83"/>
      <c r="I51" s="13" t="s">
        <v>26</v>
      </c>
      <c r="J51" s="6" t="str">
        <f>IF(AND(H49="Si"),(J49/J50),"NA")</f>
        <v>NA</v>
      </c>
      <c r="K51" s="91"/>
      <c r="L51" s="80"/>
      <c r="M51" s="88"/>
      <c r="N51" s="247"/>
      <c r="O51" s="132"/>
      <c r="P51" s="259"/>
      <c r="Q51" s="203"/>
    </row>
    <row r="52" spans="2:18" ht="33.75" customHeight="1" x14ac:dyDescent="0.2">
      <c r="B52" s="144"/>
      <c r="C52" s="101"/>
      <c r="D52" s="100" t="s">
        <v>300</v>
      </c>
      <c r="E52" s="103" t="s">
        <v>301</v>
      </c>
      <c r="F52" s="171">
        <v>0</v>
      </c>
      <c r="G52" s="112"/>
      <c r="H52" s="82" t="s">
        <v>29</v>
      </c>
      <c r="I52" s="11" t="s">
        <v>20</v>
      </c>
      <c r="J52" s="74">
        <v>0</v>
      </c>
      <c r="K52" s="122" t="str">
        <f>IF((J54="NA"),"NA",((1-J54)*10))</f>
        <v>NA</v>
      </c>
      <c r="L52" s="80"/>
      <c r="M52" s="88"/>
      <c r="N52" s="247"/>
      <c r="O52" s="132"/>
      <c r="P52" s="259"/>
      <c r="Q52" s="275" t="s">
        <v>299</v>
      </c>
    </row>
    <row r="53" spans="2:18" ht="30" customHeight="1" x14ac:dyDescent="0.2">
      <c r="B53" s="144"/>
      <c r="C53" s="101"/>
      <c r="D53" s="101"/>
      <c r="E53" s="109"/>
      <c r="F53" s="113"/>
      <c r="G53" s="114"/>
      <c r="H53" s="90"/>
      <c r="I53" s="12" t="s">
        <v>24</v>
      </c>
      <c r="J53" s="75">
        <v>1</v>
      </c>
      <c r="K53" s="122"/>
      <c r="L53" s="80"/>
      <c r="M53" s="88"/>
      <c r="N53" s="247"/>
      <c r="O53" s="132"/>
      <c r="P53" s="259"/>
      <c r="Q53" s="276"/>
      <c r="R53" s="57"/>
    </row>
    <row r="54" spans="2:18" ht="30" customHeight="1" x14ac:dyDescent="0.2">
      <c r="B54" s="144"/>
      <c r="C54" s="101"/>
      <c r="D54" s="102"/>
      <c r="E54" s="110"/>
      <c r="F54" s="115"/>
      <c r="G54" s="116"/>
      <c r="H54" s="83"/>
      <c r="I54" s="13" t="s">
        <v>87</v>
      </c>
      <c r="J54" s="6" t="str">
        <f>IF(AND(H52="Si"),((J52/J53)),"NA")</f>
        <v>NA</v>
      </c>
      <c r="K54" s="122"/>
      <c r="L54" s="80"/>
      <c r="M54" s="88"/>
      <c r="N54" s="247"/>
      <c r="O54" s="132"/>
      <c r="P54" s="259"/>
      <c r="Q54" s="277"/>
    </row>
    <row r="55" spans="2:18" ht="34.5" customHeight="1" x14ac:dyDescent="0.2">
      <c r="B55" s="144"/>
      <c r="C55" s="101"/>
      <c r="D55" s="100" t="s">
        <v>302</v>
      </c>
      <c r="E55" s="117" t="s">
        <v>303</v>
      </c>
      <c r="F55" s="252">
        <v>1</v>
      </c>
      <c r="G55" s="174"/>
      <c r="H55" s="82" t="s">
        <v>29</v>
      </c>
      <c r="I55" s="11" t="s">
        <v>20</v>
      </c>
      <c r="J55" s="74">
        <v>0</v>
      </c>
      <c r="K55" s="91" t="str">
        <f>IF((J57="NA"),"NA",((J57/F55)*10))</f>
        <v>NA</v>
      </c>
      <c r="L55" s="80"/>
      <c r="M55" s="88"/>
      <c r="N55" s="247"/>
      <c r="O55" s="132"/>
      <c r="P55" s="259"/>
      <c r="Q55" s="275" t="s">
        <v>299</v>
      </c>
    </row>
    <row r="56" spans="2:18" ht="35.25" customHeight="1" x14ac:dyDescent="0.2">
      <c r="B56" s="144"/>
      <c r="C56" s="101"/>
      <c r="D56" s="101"/>
      <c r="E56" s="170"/>
      <c r="F56" s="175"/>
      <c r="G56" s="176"/>
      <c r="H56" s="90"/>
      <c r="I56" s="12" t="s">
        <v>24</v>
      </c>
      <c r="J56" s="75">
        <v>1</v>
      </c>
      <c r="K56" s="91"/>
      <c r="L56" s="80"/>
      <c r="M56" s="88"/>
      <c r="N56" s="247"/>
      <c r="O56" s="132"/>
      <c r="P56" s="259"/>
      <c r="Q56" s="276"/>
    </row>
    <row r="57" spans="2:18" ht="33.75" customHeight="1" x14ac:dyDescent="0.2">
      <c r="B57" s="144"/>
      <c r="C57" s="101"/>
      <c r="D57" s="102"/>
      <c r="E57" s="134"/>
      <c r="F57" s="237"/>
      <c r="G57" s="238"/>
      <c r="H57" s="83"/>
      <c r="I57" s="13" t="s">
        <v>26</v>
      </c>
      <c r="J57" s="6" t="str">
        <f>IF(AND(H55="Si"),(J55/J56),"NA")</f>
        <v>NA</v>
      </c>
      <c r="K57" s="91"/>
      <c r="L57" s="80"/>
      <c r="M57" s="88"/>
      <c r="N57" s="247"/>
      <c r="O57" s="132"/>
      <c r="P57" s="259"/>
      <c r="Q57" s="277"/>
    </row>
    <row r="58" spans="2:18" ht="33.75" customHeight="1" x14ac:dyDescent="0.2">
      <c r="B58" s="144"/>
      <c r="C58" s="101"/>
      <c r="D58" s="100" t="s">
        <v>304</v>
      </c>
      <c r="E58" s="103" t="s">
        <v>305</v>
      </c>
      <c r="F58" s="171">
        <v>1</v>
      </c>
      <c r="G58" s="112"/>
      <c r="H58" s="82" t="s">
        <v>29</v>
      </c>
      <c r="I58" s="11" t="s">
        <v>20</v>
      </c>
      <c r="J58" s="74">
        <v>0</v>
      </c>
      <c r="K58" s="91" t="str">
        <f>IF((J60="NA"),"NA",((J60/F58)*10))</f>
        <v>NA</v>
      </c>
      <c r="L58" s="80"/>
      <c r="M58" s="88"/>
      <c r="N58" s="247"/>
      <c r="O58" s="132"/>
      <c r="P58" s="259"/>
      <c r="Q58" s="201" t="s">
        <v>306</v>
      </c>
    </row>
    <row r="59" spans="2:18" ht="33.75" customHeight="1" x14ac:dyDescent="0.2">
      <c r="B59" s="144"/>
      <c r="C59" s="101"/>
      <c r="D59" s="101"/>
      <c r="E59" s="90"/>
      <c r="F59" s="113"/>
      <c r="G59" s="114"/>
      <c r="H59" s="90"/>
      <c r="I59" s="12" t="s">
        <v>24</v>
      </c>
      <c r="J59" s="75">
        <v>1</v>
      </c>
      <c r="K59" s="91"/>
      <c r="L59" s="80"/>
      <c r="M59" s="88"/>
      <c r="N59" s="247"/>
      <c r="O59" s="132"/>
      <c r="P59" s="259"/>
      <c r="Q59" s="202"/>
    </row>
    <row r="60" spans="2:18" ht="33.75" customHeight="1" x14ac:dyDescent="0.2">
      <c r="B60" s="144"/>
      <c r="C60" s="101"/>
      <c r="D60" s="102"/>
      <c r="E60" s="83"/>
      <c r="F60" s="115"/>
      <c r="G60" s="116"/>
      <c r="H60" s="83"/>
      <c r="I60" s="13" t="s">
        <v>26</v>
      </c>
      <c r="J60" s="6" t="str">
        <f>IF(AND(H58="Si"),(J58/J59),"NA")</f>
        <v>NA</v>
      </c>
      <c r="K60" s="91"/>
      <c r="L60" s="80"/>
      <c r="M60" s="88"/>
      <c r="N60" s="247"/>
      <c r="O60" s="132"/>
      <c r="P60" s="259"/>
      <c r="Q60" s="203"/>
    </row>
    <row r="61" spans="2:18" ht="34.5" customHeight="1" x14ac:dyDescent="0.2">
      <c r="B61" s="144"/>
      <c r="C61" s="101"/>
      <c r="D61" s="100" t="s">
        <v>307</v>
      </c>
      <c r="E61" s="103" t="s">
        <v>308</v>
      </c>
      <c r="F61" s="171">
        <v>0</v>
      </c>
      <c r="G61" s="112"/>
      <c r="H61" s="82" t="s">
        <v>29</v>
      </c>
      <c r="I61" s="11" t="s">
        <v>20</v>
      </c>
      <c r="J61" s="74">
        <v>0</v>
      </c>
      <c r="K61" s="122" t="str">
        <f>IF((J63="NA"),"NA",((1-J63)*10))</f>
        <v>NA</v>
      </c>
      <c r="L61" s="80"/>
      <c r="M61" s="88"/>
      <c r="N61" s="247"/>
      <c r="O61" s="132"/>
      <c r="P61" s="259"/>
      <c r="Q61" s="201" t="s">
        <v>309</v>
      </c>
    </row>
    <row r="62" spans="2:18" ht="34.5" customHeight="1" x14ac:dyDescent="0.2">
      <c r="B62" s="144"/>
      <c r="C62" s="101"/>
      <c r="D62" s="101"/>
      <c r="E62" s="90"/>
      <c r="F62" s="113"/>
      <c r="G62" s="114"/>
      <c r="H62" s="90"/>
      <c r="I62" s="12" t="s">
        <v>24</v>
      </c>
      <c r="J62" s="75">
        <v>1</v>
      </c>
      <c r="K62" s="122"/>
      <c r="L62" s="80"/>
      <c r="M62" s="88"/>
      <c r="N62" s="247"/>
      <c r="O62" s="132"/>
      <c r="P62" s="259"/>
      <c r="Q62" s="202"/>
      <c r="R62" s="57"/>
    </row>
    <row r="63" spans="2:18" ht="34.5" customHeight="1" x14ac:dyDescent="0.2">
      <c r="B63" s="144"/>
      <c r="C63" s="101"/>
      <c r="D63" s="102"/>
      <c r="E63" s="83"/>
      <c r="F63" s="115"/>
      <c r="G63" s="116"/>
      <c r="H63" s="83"/>
      <c r="I63" s="13" t="s">
        <v>87</v>
      </c>
      <c r="J63" s="6" t="str">
        <f>IF(AND(H61="Si"),((J61/J62)),"NA")</f>
        <v>NA</v>
      </c>
      <c r="K63" s="122"/>
      <c r="L63" s="80"/>
      <c r="M63" s="88"/>
      <c r="N63" s="247"/>
      <c r="O63" s="132"/>
      <c r="P63" s="259"/>
      <c r="Q63" s="203"/>
    </row>
    <row r="64" spans="2:18" ht="34.5" customHeight="1" x14ac:dyDescent="0.2">
      <c r="B64" s="144"/>
      <c r="C64" s="101"/>
      <c r="D64" s="100" t="s">
        <v>310</v>
      </c>
      <c r="E64" s="117" t="s">
        <v>311</v>
      </c>
      <c r="F64" s="252">
        <v>1</v>
      </c>
      <c r="G64" s="174"/>
      <c r="H64" s="82" t="s">
        <v>29</v>
      </c>
      <c r="I64" s="11" t="s">
        <v>20</v>
      </c>
      <c r="J64" s="74">
        <v>0</v>
      </c>
      <c r="K64" s="91" t="str">
        <f>IF((J66="NA"),"NA",((J66/F64)*10))</f>
        <v>NA</v>
      </c>
      <c r="L64" s="80"/>
      <c r="M64" s="88"/>
      <c r="N64" s="247"/>
      <c r="O64" s="132"/>
      <c r="P64" s="259"/>
      <c r="Q64" s="201" t="s">
        <v>312</v>
      </c>
    </row>
    <row r="65" spans="2:18" ht="34.5" customHeight="1" x14ac:dyDescent="0.2">
      <c r="B65" s="144"/>
      <c r="C65" s="101"/>
      <c r="D65" s="101"/>
      <c r="E65" s="118"/>
      <c r="F65" s="175"/>
      <c r="G65" s="176"/>
      <c r="H65" s="90"/>
      <c r="I65" s="12" t="s">
        <v>24</v>
      </c>
      <c r="J65" s="75">
        <v>1</v>
      </c>
      <c r="K65" s="91"/>
      <c r="L65" s="80"/>
      <c r="M65" s="88"/>
      <c r="N65" s="247"/>
      <c r="O65" s="132"/>
      <c r="P65" s="259"/>
      <c r="Q65" s="202"/>
    </row>
    <row r="66" spans="2:18" ht="34.5" customHeight="1" x14ac:dyDescent="0.2">
      <c r="B66" s="144"/>
      <c r="C66" s="101"/>
      <c r="D66" s="102"/>
      <c r="E66" s="119"/>
      <c r="F66" s="237"/>
      <c r="G66" s="238"/>
      <c r="H66" s="83"/>
      <c r="I66" s="13" t="s">
        <v>26</v>
      </c>
      <c r="J66" s="6" t="str">
        <f>IF(AND(H64="Si"),(J64/J65),"NA")</f>
        <v>NA</v>
      </c>
      <c r="K66" s="91"/>
      <c r="L66" s="80"/>
      <c r="M66" s="88"/>
      <c r="N66" s="247"/>
      <c r="O66" s="132"/>
      <c r="P66" s="259"/>
      <c r="Q66" s="203"/>
    </row>
    <row r="67" spans="2:18" ht="34.5" customHeight="1" x14ac:dyDescent="0.2">
      <c r="B67" s="144"/>
      <c r="C67" s="101"/>
      <c r="D67" s="100" t="s">
        <v>313</v>
      </c>
      <c r="E67" s="117" t="s">
        <v>314</v>
      </c>
      <c r="F67" s="252">
        <v>0</v>
      </c>
      <c r="G67" s="174"/>
      <c r="H67" s="82" t="s">
        <v>19</v>
      </c>
      <c r="I67" s="11" t="s">
        <v>20</v>
      </c>
      <c r="J67" s="74">
        <v>0</v>
      </c>
      <c r="K67" s="122">
        <f>IF((J69="NA"),"NA",((1-J69)*10))</f>
        <v>10</v>
      </c>
      <c r="L67" s="80"/>
      <c r="M67" s="88"/>
      <c r="N67" s="247"/>
      <c r="O67" s="132"/>
      <c r="P67" s="259"/>
      <c r="Q67" s="201"/>
    </row>
    <row r="68" spans="2:18" ht="34.5" customHeight="1" x14ac:dyDescent="0.2">
      <c r="B68" s="144"/>
      <c r="C68" s="101"/>
      <c r="D68" s="101"/>
      <c r="E68" s="170"/>
      <c r="F68" s="175"/>
      <c r="G68" s="176"/>
      <c r="H68" s="90"/>
      <c r="I68" s="12" t="s">
        <v>24</v>
      </c>
      <c r="J68" s="75">
        <v>1</v>
      </c>
      <c r="K68" s="122"/>
      <c r="L68" s="80"/>
      <c r="M68" s="88"/>
      <c r="N68" s="247"/>
      <c r="O68" s="132"/>
      <c r="P68" s="259"/>
      <c r="Q68" s="202"/>
    </row>
    <row r="69" spans="2:18" ht="34.5" customHeight="1" x14ac:dyDescent="0.2">
      <c r="B69" s="144"/>
      <c r="C69" s="101"/>
      <c r="D69" s="102"/>
      <c r="E69" s="134"/>
      <c r="F69" s="237"/>
      <c r="G69" s="238"/>
      <c r="H69" s="83"/>
      <c r="I69" s="13" t="s">
        <v>87</v>
      </c>
      <c r="J69" s="6">
        <f>IF(AND(H67="Si"),((J67/J68)),"NA")</f>
        <v>0</v>
      </c>
      <c r="K69" s="122"/>
      <c r="L69" s="80"/>
      <c r="M69" s="88"/>
      <c r="N69" s="247"/>
      <c r="O69" s="132"/>
      <c r="P69" s="259"/>
      <c r="Q69" s="203"/>
    </row>
    <row r="70" spans="2:18" ht="34.5" customHeight="1" x14ac:dyDescent="0.2">
      <c r="B70" s="144"/>
      <c r="C70" s="101"/>
      <c r="D70" s="100" t="s">
        <v>315</v>
      </c>
      <c r="E70" s="117" t="s">
        <v>316</v>
      </c>
      <c r="F70" s="252">
        <v>0</v>
      </c>
      <c r="G70" s="174"/>
      <c r="H70" s="82" t="s">
        <v>29</v>
      </c>
      <c r="I70" s="11" t="s">
        <v>20</v>
      </c>
      <c r="J70" s="74">
        <v>0</v>
      </c>
      <c r="K70" s="122" t="str">
        <f>IF((J72="NA"),"NA",((1-J72)*10))</f>
        <v>NA</v>
      </c>
      <c r="L70" s="80"/>
      <c r="M70" s="88"/>
      <c r="N70" s="247"/>
      <c r="O70" s="132"/>
      <c r="P70" s="259"/>
      <c r="Q70" s="201" t="s">
        <v>317</v>
      </c>
    </row>
    <row r="71" spans="2:18" ht="34.5" customHeight="1" x14ac:dyDescent="0.2">
      <c r="B71" s="144"/>
      <c r="C71" s="101"/>
      <c r="D71" s="101"/>
      <c r="E71" s="170"/>
      <c r="F71" s="175"/>
      <c r="G71" s="176"/>
      <c r="H71" s="90"/>
      <c r="I71" s="12" t="s">
        <v>24</v>
      </c>
      <c r="J71" s="75">
        <v>1</v>
      </c>
      <c r="K71" s="122"/>
      <c r="L71" s="80"/>
      <c r="M71" s="88"/>
      <c r="N71" s="247"/>
      <c r="O71" s="132"/>
      <c r="P71" s="259"/>
      <c r="Q71" s="202"/>
      <c r="R71" s="57"/>
    </row>
    <row r="72" spans="2:18" ht="34.5" customHeight="1" x14ac:dyDescent="0.2">
      <c r="B72" s="144"/>
      <c r="C72" s="101"/>
      <c r="D72" s="102"/>
      <c r="E72" s="134"/>
      <c r="F72" s="237"/>
      <c r="G72" s="238"/>
      <c r="H72" s="83"/>
      <c r="I72" s="13" t="s">
        <v>87</v>
      </c>
      <c r="J72" s="6" t="str">
        <f>IF(AND(H70="Si"),((J70/J71)),"NA")</f>
        <v>NA</v>
      </c>
      <c r="K72" s="122"/>
      <c r="L72" s="80"/>
      <c r="M72" s="88"/>
      <c r="N72" s="247"/>
      <c r="O72" s="132"/>
      <c r="P72" s="259"/>
      <c r="Q72" s="203"/>
    </row>
    <row r="73" spans="2:18" ht="34.5" customHeight="1" x14ac:dyDescent="0.2">
      <c r="B73" s="144"/>
      <c r="C73" s="100" t="s">
        <v>318</v>
      </c>
      <c r="D73" s="100" t="s">
        <v>319</v>
      </c>
      <c r="E73" s="103" t="s">
        <v>320</v>
      </c>
      <c r="F73" s="171">
        <v>0</v>
      </c>
      <c r="G73" s="112"/>
      <c r="H73" s="82" t="s">
        <v>29</v>
      </c>
      <c r="I73" s="11" t="s">
        <v>20</v>
      </c>
      <c r="J73" s="74">
        <v>0</v>
      </c>
      <c r="K73" s="122" t="str">
        <f>IF((J75="NA"),"NA",((1-J75)*10))</f>
        <v>NA</v>
      </c>
      <c r="L73" s="80"/>
      <c r="M73" s="88"/>
      <c r="N73" s="247"/>
      <c r="O73" s="132"/>
      <c r="P73" s="259"/>
      <c r="Q73" s="201" t="s">
        <v>321</v>
      </c>
    </row>
    <row r="74" spans="2:18" ht="34.5" customHeight="1" x14ac:dyDescent="0.2">
      <c r="B74" s="144"/>
      <c r="C74" s="101"/>
      <c r="D74" s="101"/>
      <c r="E74" s="90"/>
      <c r="F74" s="113"/>
      <c r="G74" s="114"/>
      <c r="H74" s="90"/>
      <c r="I74" s="12" t="s">
        <v>24</v>
      </c>
      <c r="J74" s="75">
        <v>1</v>
      </c>
      <c r="K74" s="122"/>
      <c r="L74" s="80"/>
      <c r="M74" s="88"/>
      <c r="N74" s="247"/>
      <c r="O74" s="132"/>
      <c r="P74" s="259"/>
      <c r="Q74" s="202"/>
    </row>
    <row r="75" spans="2:18" ht="34.5" customHeight="1" x14ac:dyDescent="0.2">
      <c r="B75" s="144"/>
      <c r="C75" s="101"/>
      <c r="D75" s="102"/>
      <c r="E75" s="83"/>
      <c r="F75" s="115"/>
      <c r="G75" s="116"/>
      <c r="H75" s="83"/>
      <c r="I75" s="13" t="s">
        <v>87</v>
      </c>
      <c r="J75" s="6" t="str">
        <f>IF(AND(H73="Si"),((J73/J74)),"NA")</f>
        <v>NA</v>
      </c>
      <c r="K75" s="122"/>
      <c r="L75" s="80"/>
      <c r="M75" s="88"/>
      <c r="N75" s="247"/>
      <c r="O75" s="132"/>
      <c r="P75" s="259"/>
      <c r="Q75" s="203"/>
    </row>
    <row r="76" spans="2:18" ht="34.5" customHeight="1" x14ac:dyDescent="0.2">
      <c r="B76" s="144"/>
      <c r="C76" s="101"/>
      <c r="D76" s="100" t="s">
        <v>322</v>
      </c>
      <c r="E76" s="117" t="s">
        <v>323</v>
      </c>
      <c r="F76" s="173" t="s">
        <v>324</v>
      </c>
      <c r="G76" s="174"/>
      <c r="H76" s="82" t="s">
        <v>29</v>
      </c>
      <c r="I76" s="11" t="s">
        <v>20</v>
      </c>
      <c r="J76" s="74">
        <v>0</v>
      </c>
      <c r="K76" s="91" t="str">
        <f>IF((J78="NA"),"NA",IF(J76&gt;5,0,((1-(J76/5))*10)))</f>
        <v>NA</v>
      </c>
      <c r="L76" s="80"/>
      <c r="M76" s="88"/>
      <c r="N76" s="247"/>
      <c r="O76" s="132"/>
      <c r="P76" s="259"/>
      <c r="Q76" s="201" t="s">
        <v>325</v>
      </c>
    </row>
    <row r="77" spans="2:18" ht="34.5" customHeight="1" x14ac:dyDescent="0.2">
      <c r="B77" s="144"/>
      <c r="C77" s="101"/>
      <c r="D77" s="101"/>
      <c r="E77" s="118"/>
      <c r="F77" s="175"/>
      <c r="G77" s="176"/>
      <c r="H77" s="90"/>
      <c r="I77" s="12" t="s">
        <v>35</v>
      </c>
      <c r="J77" s="29">
        <v>12</v>
      </c>
      <c r="K77" s="91"/>
      <c r="L77" s="80"/>
      <c r="M77" s="88"/>
      <c r="N77" s="247"/>
      <c r="O77" s="132"/>
      <c r="P77" s="259"/>
      <c r="Q77" s="202"/>
    </row>
    <row r="78" spans="2:18" ht="34.5" customHeight="1" x14ac:dyDescent="0.2">
      <c r="B78" s="144"/>
      <c r="C78" s="101"/>
      <c r="D78" s="102"/>
      <c r="E78" s="134"/>
      <c r="F78" s="237"/>
      <c r="G78" s="238"/>
      <c r="H78" s="83"/>
      <c r="I78" s="13" t="s">
        <v>26</v>
      </c>
      <c r="J78" s="7" t="str">
        <f>IF(AND(H76="Si"),(J76&amp;"/"&amp;J77&amp;" meses"),"NA")</f>
        <v>NA</v>
      </c>
      <c r="K78" s="91"/>
      <c r="L78" s="80"/>
      <c r="M78" s="88"/>
      <c r="N78" s="247"/>
      <c r="O78" s="132"/>
      <c r="P78" s="259"/>
      <c r="Q78" s="203"/>
    </row>
    <row r="79" spans="2:18" ht="34.5" customHeight="1" x14ac:dyDescent="0.2">
      <c r="B79" s="144"/>
      <c r="C79" s="101"/>
      <c r="D79" s="100" t="s">
        <v>326</v>
      </c>
      <c r="E79" s="117" t="s">
        <v>327</v>
      </c>
      <c r="F79" s="252">
        <v>0</v>
      </c>
      <c r="G79" s="174"/>
      <c r="H79" s="82" t="s">
        <v>29</v>
      </c>
      <c r="I79" s="11" t="s">
        <v>20</v>
      </c>
      <c r="J79" s="74">
        <v>0</v>
      </c>
      <c r="K79" s="122" t="str">
        <f>IF((J81="NA"),"NA",((1-J81)*10))</f>
        <v>NA</v>
      </c>
      <c r="L79" s="80"/>
      <c r="M79" s="88"/>
      <c r="N79" s="247"/>
      <c r="O79" s="132"/>
      <c r="P79" s="259"/>
      <c r="Q79" s="204" t="s">
        <v>328</v>
      </c>
      <c r="R79" s="63"/>
    </row>
    <row r="80" spans="2:18" ht="34.5" customHeight="1" x14ac:dyDescent="0.2">
      <c r="B80" s="144"/>
      <c r="C80" s="101"/>
      <c r="D80" s="101"/>
      <c r="E80" s="170"/>
      <c r="F80" s="175"/>
      <c r="G80" s="176"/>
      <c r="H80" s="90"/>
      <c r="I80" s="12" t="s">
        <v>24</v>
      </c>
      <c r="J80" s="75">
        <v>1</v>
      </c>
      <c r="K80" s="122"/>
      <c r="L80" s="80"/>
      <c r="M80" s="88"/>
      <c r="N80" s="247"/>
      <c r="O80" s="132"/>
      <c r="P80" s="259"/>
      <c r="Q80" s="205"/>
      <c r="R80" s="63"/>
    </row>
    <row r="81" spans="2:18" ht="34.5" customHeight="1" x14ac:dyDescent="0.2">
      <c r="B81" s="144"/>
      <c r="C81" s="102"/>
      <c r="D81" s="102"/>
      <c r="E81" s="134"/>
      <c r="F81" s="237"/>
      <c r="G81" s="238"/>
      <c r="H81" s="83"/>
      <c r="I81" s="13" t="s">
        <v>87</v>
      </c>
      <c r="J81" s="6" t="str">
        <f>IF(AND(H79="Si"),((J79/J80)),"NA")</f>
        <v>NA</v>
      </c>
      <c r="K81" s="122"/>
      <c r="L81" s="80"/>
      <c r="M81" s="88"/>
      <c r="N81" s="247"/>
      <c r="O81" s="132"/>
      <c r="P81" s="259"/>
      <c r="Q81" s="206"/>
      <c r="R81" s="63"/>
    </row>
    <row r="82" spans="2:18" ht="34.5" customHeight="1" x14ac:dyDescent="0.2">
      <c r="B82" s="144"/>
      <c r="C82" s="100" t="s">
        <v>329</v>
      </c>
      <c r="D82" s="100" t="s">
        <v>330</v>
      </c>
      <c r="E82" s="117" t="s">
        <v>331</v>
      </c>
      <c r="F82" s="252">
        <v>0</v>
      </c>
      <c r="G82" s="174"/>
      <c r="H82" s="82" t="s">
        <v>29</v>
      </c>
      <c r="I82" s="11" t="s">
        <v>20</v>
      </c>
      <c r="J82" s="74">
        <v>0</v>
      </c>
      <c r="K82" s="122" t="str">
        <f>IF((J84="NA"),"NA",((1-J84)*10))</f>
        <v>NA</v>
      </c>
      <c r="L82" s="80"/>
      <c r="M82" s="88"/>
      <c r="N82" s="247"/>
      <c r="O82" s="132"/>
      <c r="P82" s="259"/>
      <c r="Q82" s="201" t="s">
        <v>332</v>
      </c>
      <c r="R82" s="57"/>
    </row>
    <row r="83" spans="2:18" ht="34.5" customHeight="1" x14ac:dyDescent="0.2">
      <c r="B83" s="144"/>
      <c r="C83" s="101"/>
      <c r="D83" s="101"/>
      <c r="E83" s="170"/>
      <c r="F83" s="175"/>
      <c r="G83" s="176"/>
      <c r="H83" s="90"/>
      <c r="I83" s="12" t="s">
        <v>24</v>
      </c>
      <c r="J83" s="75">
        <v>1</v>
      </c>
      <c r="K83" s="122"/>
      <c r="L83" s="80"/>
      <c r="M83" s="88"/>
      <c r="N83" s="247"/>
      <c r="O83" s="132"/>
      <c r="P83" s="259"/>
      <c r="Q83" s="202"/>
    </row>
    <row r="84" spans="2:18" ht="34.5" customHeight="1" x14ac:dyDescent="0.2">
      <c r="B84" s="145"/>
      <c r="C84" s="102"/>
      <c r="D84" s="102"/>
      <c r="E84" s="134"/>
      <c r="F84" s="237"/>
      <c r="G84" s="238"/>
      <c r="H84" s="83"/>
      <c r="I84" s="13" t="s">
        <v>87</v>
      </c>
      <c r="J84" s="6" t="str">
        <f>IF(AND(H82="Si"),((J82/J83)),"NA")</f>
        <v>NA</v>
      </c>
      <c r="K84" s="122"/>
      <c r="L84" s="81"/>
      <c r="M84" s="89"/>
      <c r="N84" s="248"/>
      <c r="O84" s="133"/>
      <c r="P84" s="259"/>
      <c r="Q84" s="203"/>
      <c r="R84" s="57"/>
    </row>
    <row r="85" spans="2:18" ht="5.25" customHeight="1" x14ac:dyDescent="0.2">
      <c r="B85" s="92"/>
      <c r="C85" s="93"/>
      <c r="D85" s="93"/>
      <c r="E85" s="93"/>
      <c r="F85" s="93"/>
      <c r="G85" s="93"/>
      <c r="H85" s="93"/>
      <c r="I85" s="93"/>
      <c r="J85" s="93"/>
      <c r="K85" s="93"/>
      <c r="L85" s="93"/>
      <c r="M85" s="93"/>
      <c r="N85" s="93"/>
      <c r="O85" s="93"/>
      <c r="P85" s="259"/>
      <c r="Q85" s="68"/>
    </row>
    <row r="86" spans="2:18" ht="33" customHeight="1" x14ac:dyDescent="0.2">
      <c r="B86" s="172" t="s">
        <v>333</v>
      </c>
      <c r="C86" s="100" t="s">
        <v>334</v>
      </c>
      <c r="D86" s="100" t="s">
        <v>334</v>
      </c>
      <c r="E86" s="103" t="s">
        <v>335</v>
      </c>
      <c r="F86" s="171">
        <v>0</v>
      </c>
      <c r="G86" s="112"/>
      <c r="H86" s="82" t="s">
        <v>29</v>
      </c>
      <c r="I86" s="11" t="s">
        <v>20</v>
      </c>
      <c r="J86" s="74">
        <v>0</v>
      </c>
      <c r="K86" s="122" t="str">
        <f>IF((J88="NA"),"NA",((1-J88)*10))</f>
        <v>NA</v>
      </c>
      <c r="L86" s="87">
        <f>IF(AND(H86="No",H89="No"),0,AVERAGE(K86:K91))</f>
        <v>0</v>
      </c>
      <c r="M86" s="82" t="s">
        <v>134</v>
      </c>
      <c r="N86" s="246">
        <v>0</v>
      </c>
      <c r="O86" s="171">
        <f>L86*N86</f>
        <v>0</v>
      </c>
      <c r="P86" s="259"/>
      <c r="Q86" s="275" t="s">
        <v>336</v>
      </c>
      <c r="R86" s="63"/>
    </row>
    <row r="87" spans="2:18" ht="33" customHeight="1" x14ac:dyDescent="0.2">
      <c r="B87" s="172"/>
      <c r="C87" s="101"/>
      <c r="D87" s="101"/>
      <c r="E87" s="90"/>
      <c r="F87" s="113"/>
      <c r="G87" s="114"/>
      <c r="H87" s="90"/>
      <c r="I87" s="12" t="s">
        <v>24</v>
      </c>
      <c r="J87" s="75">
        <v>1</v>
      </c>
      <c r="K87" s="122"/>
      <c r="L87" s="90"/>
      <c r="M87" s="90"/>
      <c r="N87" s="247"/>
      <c r="O87" s="113"/>
      <c r="P87" s="259"/>
      <c r="Q87" s="276"/>
      <c r="R87" s="63"/>
    </row>
    <row r="88" spans="2:18" ht="33" customHeight="1" x14ac:dyDescent="0.2">
      <c r="B88" s="172"/>
      <c r="C88" s="102"/>
      <c r="D88" s="102"/>
      <c r="E88" s="83"/>
      <c r="F88" s="115"/>
      <c r="G88" s="116"/>
      <c r="H88" s="83"/>
      <c r="I88" s="13" t="s">
        <v>87</v>
      </c>
      <c r="J88" s="6" t="str">
        <f>IF(AND(H86="Si"),((J86/J87)),"NA")</f>
        <v>NA</v>
      </c>
      <c r="K88" s="122"/>
      <c r="L88" s="90"/>
      <c r="M88" s="90"/>
      <c r="N88" s="247"/>
      <c r="O88" s="113"/>
      <c r="P88" s="259"/>
      <c r="Q88" s="277"/>
      <c r="R88" s="63"/>
    </row>
    <row r="89" spans="2:18" ht="33" customHeight="1" x14ac:dyDescent="0.2">
      <c r="B89" s="172"/>
      <c r="C89" s="100" t="s">
        <v>337</v>
      </c>
      <c r="D89" s="100" t="s">
        <v>338</v>
      </c>
      <c r="E89" s="103" t="s">
        <v>339</v>
      </c>
      <c r="F89" s="171">
        <v>1</v>
      </c>
      <c r="G89" s="112"/>
      <c r="H89" s="82" t="s">
        <v>29</v>
      </c>
      <c r="I89" s="11" t="s">
        <v>20</v>
      </c>
      <c r="J89" s="74">
        <v>0</v>
      </c>
      <c r="K89" s="91" t="str">
        <f>IF((J91="NA"),"NA",((J91/F89)*10))</f>
        <v>NA</v>
      </c>
      <c r="L89" s="90"/>
      <c r="M89" s="90"/>
      <c r="N89" s="247"/>
      <c r="O89" s="113"/>
      <c r="P89" s="259"/>
      <c r="Q89" s="201" t="s">
        <v>336</v>
      </c>
      <c r="R89" s="57"/>
    </row>
    <row r="90" spans="2:18" ht="30.75" customHeight="1" x14ac:dyDescent="0.2">
      <c r="B90" s="172"/>
      <c r="C90" s="101"/>
      <c r="D90" s="101"/>
      <c r="E90" s="90"/>
      <c r="F90" s="113"/>
      <c r="G90" s="114"/>
      <c r="H90" s="90"/>
      <c r="I90" s="12" t="s">
        <v>24</v>
      </c>
      <c r="J90" s="75">
        <v>1</v>
      </c>
      <c r="K90" s="91"/>
      <c r="L90" s="90"/>
      <c r="M90" s="90"/>
      <c r="N90" s="247"/>
      <c r="O90" s="113"/>
      <c r="P90" s="259"/>
      <c r="Q90" s="202"/>
    </row>
    <row r="91" spans="2:18" ht="27" customHeight="1" x14ac:dyDescent="0.2">
      <c r="B91" s="172"/>
      <c r="C91" s="102"/>
      <c r="D91" s="102"/>
      <c r="E91" s="83"/>
      <c r="F91" s="115"/>
      <c r="G91" s="116"/>
      <c r="H91" s="83"/>
      <c r="I91" s="13" t="s">
        <v>26</v>
      </c>
      <c r="J91" s="6" t="str">
        <f>IF(AND(H89="Si"),(J89/J90),"NA")</f>
        <v>NA</v>
      </c>
      <c r="K91" s="91"/>
      <c r="L91" s="83"/>
      <c r="M91" s="83"/>
      <c r="N91" s="248"/>
      <c r="O91" s="115"/>
      <c r="P91" s="261"/>
      <c r="Q91" s="203"/>
    </row>
    <row r="92" spans="2:18" x14ac:dyDescent="0.2">
      <c r="N92" s="53">
        <f>SUM(N1:N91)</f>
        <v>1</v>
      </c>
      <c r="Q92" s="62"/>
    </row>
  </sheetData>
  <mergeCells count="203">
    <mergeCell ref="Q67:Q69"/>
    <mergeCell ref="Q70:Q72"/>
    <mergeCell ref="Q73:Q75"/>
    <mergeCell ref="Q76:Q78"/>
    <mergeCell ref="Q79:Q81"/>
    <mergeCell ref="Q82:Q84"/>
    <mergeCell ref="Q86:Q88"/>
    <mergeCell ref="Q89:Q91"/>
    <mergeCell ref="Q35:Q37"/>
    <mergeCell ref="Q39:Q41"/>
    <mergeCell ref="Q42:Q44"/>
    <mergeCell ref="Q49:Q51"/>
    <mergeCell ref="Q52:Q54"/>
    <mergeCell ref="Q55:Q57"/>
    <mergeCell ref="Q58:Q60"/>
    <mergeCell ref="Q61:Q63"/>
    <mergeCell ref="Q64:Q66"/>
    <mergeCell ref="Q7:Q9"/>
    <mergeCell ref="Q10:Q12"/>
    <mergeCell ref="Q13:Q15"/>
    <mergeCell ref="Q17:Q19"/>
    <mergeCell ref="Q20:Q22"/>
    <mergeCell ref="Q23:Q25"/>
    <mergeCell ref="Q26:Q28"/>
    <mergeCell ref="Q29:Q31"/>
    <mergeCell ref="Q32:Q34"/>
    <mergeCell ref="N49:N84"/>
    <mergeCell ref="O49:O84"/>
    <mergeCell ref="K67:K69"/>
    <mergeCell ref="K70:K72"/>
    <mergeCell ref="P7:P91"/>
    <mergeCell ref="Q45:Q47"/>
    <mergeCell ref="B2:P3"/>
    <mergeCell ref="D61:D63"/>
    <mergeCell ref="E61:E63"/>
    <mergeCell ref="F61:G63"/>
    <mergeCell ref="K61:K63"/>
    <mergeCell ref="D58:D60"/>
    <mergeCell ref="E58:E60"/>
    <mergeCell ref="F58:G60"/>
    <mergeCell ref="K58:K60"/>
    <mergeCell ref="F55:G57"/>
    <mergeCell ref="K55:K57"/>
    <mergeCell ref="D49:D51"/>
    <mergeCell ref="E49:E51"/>
    <mergeCell ref="F49:G51"/>
    <mergeCell ref="K49:K51"/>
    <mergeCell ref="D52:D54"/>
    <mergeCell ref="E52:E54"/>
    <mergeCell ref="B48:O48"/>
    <mergeCell ref="B49:B84"/>
    <mergeCell ref="L49:L84"/>
    <mergeCell ref="H70:H72"/>
    <mergeCell ref="H73:H75"/>
    <mergeCell ref="H76:H78"/>
    <mergeCell ref="K52:K54"/>
    <mergeCell ref="N86:N91"/>
    <mergeCell ref="O86:O91"/>
    <mergeCell ref="B86:B91"/>
    <mergeCell ref="D89:D91"/>
    <mergeCell ref="E89:E91"/>
    <mergeCell ref="F89:G91"/>
    <mergeCell ref="K89:K91"/>
    <mergeCell ref="L86:L91"/>
    <mergeCell ref="D86:D88"/>
    <mergeCell ref="E86:E88"/>
    <mergeCell ref="F86:G88"/>
    <mergeCell ref="C86:C88"/>
    <mergeCell ref="K86:K88"/>
    <mergeCell ref="C89:C91"/>
    <mergeCell ref="B85:O85"/>
    <mergeCell ref="E64:E66"/>
    <mergeCell ref="F64:G66"/>
    <mergeCell ref="K64:K66"/>
    <mergeCell ref="D64:D66"/>
    <mergeCell ref="D79:D81"/>
    <mergeCell ref="D67:D69"/>
    <mergeCell ref="E67:E69"/>
    <mergeCell ref="D70:D72"/>
    <mergeCell ref="E70:E72"/>
    <mergeCell ref="F70:G72"/>
    <mergeCell ref="F52:G54"/>
    <mergeCell ref="D73:D75"/>
    <mergeCell ref="E73:E75"/>
    <mergeCell ref="F73:G75"/>
    <mergeCell ref="B39:B47"/>
    <mergeCell ref="D39:D41"/>
    <mergeCell ref="E39:E41"/>
    <mergeCell ref="F39:G41"/>
    <mergeCell ref="K39:K41"/>
    <mergeCell ref="L39:L47"/>
    <mergeCell ref="N39:N47"/>
    <mergeCell ref="O39:O47"/>
    <mergeCell ref="D45:D47"/>
    <mergeCell ref="E45:E47"/>
    <mergeCell ref="F45:G47"/>
    <mergeCell ref="K45:K47"/>
    <mergeCell ref="C39:C47"/>
    <mergeCell ref="D42:D44"/>
    <mergeCell ref="E42:E44"/>
    <mergeCell ref="M39:M47"/>
    <mergeCell ref="C49:C72"/>
    <mergeCell ref="C73:C81"/>
    <mergeCell ref="N7:N15"/>
    <mergeCell ref="O7:O15"/>
    <mergeCell ref="D10:D12"/>
    <mergeCell ref="E10:E12"/>
    <mergeCell ref="F10:G12"/>
    <mergeCell ref="K10:K12"/>
    <mergeCell ref="K13:K15"/>
    <mergeCell ref="B16:O16"/>
    <mergeCell ref="B17:B37"/>
    <mergeCell ref="D17:D19"/>
    <mergeCell ref="E17:E19"/>
    <mergeCell ref="F17:G19"/>
    <mergeCell ref="K17:K19"/>
    <mergeCell ref="L17:L37"/>
    <mergeCell ref="N17:N37"/>
    <mergeCell ref="O17:O37"/>
    <mergeCell ref="D20:D22"/>
    <mergeCell ref="E20:E22"/>
    <mergeCell ref="F20:G22"/>
    <mergeCell ref="D35:D37"/>
    <mergeCell ref="D76:D78"/>
    <mergeCell ref="E76:E78"/>
    <mergeCell ref="D29:D31"/>
    <mergeCell ref="M7:M15"/>
    <mergeCell ref="M17:M37"/>
    <mergeCell ref="H13:H15"/>
    <mergeCell ref="H17:H19"/>
    <mergeCell ref="H20:H22"/>
    <mergeCell ref="H23:H25"/>
    <mergeCell ref="H26:H28"/>
    <mergeCell ref="H29:H31"/>
    <mergeCell ref="H32:H34"/>
    <mergeCell ref="H35:H37"/>
    <mergeCell ref="K20:K22"/>
    <mergeCell ref="K7:K9"/>
    <mergeCell ref="L7:L15"/>
    <mergeCell ref="K29:K31"/>
    <mergeCell ref="K32:K34"/>
    <mergeCell ref="K23:K25"/>
    <mergeCell ref="D26:D28"/>
    <mergeCell ref="E26:E28"/>
    <mergeCell ref="D32:D34"/>
    <mergeCell ref="M49:M84"/>
    <mergeCell ref="M86:M91"/>
    <mergeCell ref="F26:G28"/>
    <mergeCell ref="K26:K28"/>
    <mergeCell ref="F42:G44"/>
    <mergeCell ref="K42:K44"/>
    <mergeCell ref="E29:E31"/>
    <mergeCell ref="F29:G31"/>
    <mergeCell ref="E32:E34"/>
    <mergeCell ref="F32:G34"/>
    <mergeCell ref="H39:H41"/>
    <mergeCell ref="H42:H44"/>
    <mergeCell ref="K82:K84"/>
    <mergeCell ref="K73:K75"/>
    <mergeCell ref="E35:E37"/>
    <mergeCell ref="F35:G37"/>
    <mergeCell ref="K35:K37"/>
    <mergeCell ref="E79:E81"/>
    <mergeCell ref="F79:G81"/>
    <mergeCell ref="F76:G78"/>
    <mergeCell ref="F67:G69"/>
    <mergeCell ref="K76:K78"/>
    <mergeCell ref="K79:K81"/>
    <mergeCell ref="B38:O38"/>
    <mergeCell ref="F6:G6"/>
    <mergeCell ref="I6:J6"/>
    <mergeCell ref="B7:B15"/>
    <mergeCell ref="D7:D9"/>
    <mergeCell ref="E7:E9"/>
    <mergeCell ref="F7:G9"/>
    <mergeCell ref="D13:D15"/>
    <mergeCell ref="E13:E15"/>
    <mergeCell ref="F13:G15"/>
    <mergeCell ref="C7:C15"/>
    <mergeCell ref="C17:C37"/>
    <mergeCell ref="H7:H9"/>
    <mergeCell ref="H10:H12"/>
    <mergeCell ref="H79:H81"/>
    <mergeCell ref="H82:H84"/>
    <mergeCell ref="H86:H88"/>
    <mergeCell ref="H89:H91"/>
    <mergeCell ref="H45:H47"/>
    <mergeCell ref="H49:H51"/>
    <mergeCell ref="H52:H54"/>
    <mergeCell ref="H55:H57"/>
    <mergeCell ref="H58:H60"/>
    <mergeCell ref="H61:H63"/>
    <mergeCell ref="H64:H66"/>
    <mergeCell ref="H67:H69"/>
    <mergeCell ref="D23:D25"/>
    <mergeCell ref="E23:E25"/>
    <mergeCell ref="F23:G25"/>
    <mergeCell ref="D55:D57"/>
    <mergeCell ref="E55:E57"/>
    <mergeCell ref="C82:C84"/>
    <mergeCell ref="D82:D84"/>
    <mergeCell ref="E82:E84"/>
    <mergeCell ref="F82:G84"/>
  </mergeCells>
  <conditionalFormatting sqref="N7:N15 N17:N37 N39:N47 N49:N84 N86:N91">
    <cfRule type="expression" dxfId="0" priority="1">
      <formula>$N$92&lt;&gt;100%</formula>
    </cfRule>
  </conditionalFormatting>
  <dataValidations count="9">
    <dataValidation type="whole" operator="equal" allowBlank="1" showInputMessage="1" showErrorMessage="1" errorTitle="Error en la métrica" error="El valor ingresado en la variable T debe ser 15." sqref="J24" xr:uid="{00000000-0002-0000-0200-000000000000}">
      <formula1>15</formula1>
    </dataValidation>
    <dataValidation type="whole" operator="lessThanOrEqual" allowBlank="1" showInputMessage="1" showErrorMessage="1" errorTitle="Error en la métrica" error="El valor ingresado en la variable A debe ser menor o igual a la variable B" sqref="J86 J52 J82 J79 J13 J17 J73 J70 J67 J32 J61 J45" xr:uid="{00000000-0002-0000-0200-000001000000}">
      <formula1>J14</formula1>
    </dataValidation>
    <dataValidation type="custom" allowBlank="1" showInputMessage="1" showErrorMessage="1" errorTitle="Error en la métrica" error="El valor ingresado en la variable B debe ser:_x000a_1. Mayor a cero._x000a_2. Mayor o igual a la variable A" sqref="J87 J8 J11 J14 J18 J21 J27 J30 J33 J36 J40 J90 J53 J46 J50 J56 J59 J62 J65 J68 J71 J74 J80 J83 J43" xr:uid="{00000000-0002-0000-0200-000002000000}">
      <formula1>AND(J8&gt;0,J8&gt;=J7)</formula1>
    </dataValidation>
    <dataValidation type="list" allowBlank="1" showInputMessage="1" showErrorMessage="1" errorTitle="Error en Nivel de Importancia" error="No se debe ingresar valores que no están en la lista." sqref="M86:M91 M7:M15 M17:M37 M49:M84 M39:M47" xr:uid="{00000000-0002-0000-0200-000003000000}">
      <formula1>importancia</formula1>
    </dataValidation>
    <dataValidation type="list" allowBlank="1" showInputMessage="1" showErrorMessage="1" sqref="H7 H10 H13 H17 H20 H23 H26 H29 H32 H35 H39 H42 H45 H49 H52 H55 H58 H61 H64 H67 H70 H73 H76 H79 H82 H86 H89" xr:uid="{00000000-0002-0000-0200-000004000000}">
      <formula1>aplica2</formula1>
    </dataValidation>
    <dataValidation type="whole" operator="lessThanOrEqual" showInputMessage="1" showErrorMessage="1" errorTitle="Error en la métrica" error="El valor ingresado en la variable A debe ser menor o igual a la variable B" sqref="J7 J10 J20 J26 J29 J35 J39 J42 J49 J55 J58 J64 J89" xr:uid="{00000000-0002-0000-0200-000005000000}">
      <formula1>J8</formula1>
    </dataValidation>
    <dataValidation operator="lessThanOrEqual" allowBlank="1" showInputMessage="1" showErrorMessage="1" errorTitle="Mensaje exitoso" error="El valor ingresado en la variable A es mayor al umbral, el cual es considerado exitoso." sqref="J23" xr:uid="{00000000-0002-0000-0200-000006000000}"/>
    <dataValidation operator="lessThanOrEqual" allowBlank="1" showInputMessage="1" showErrorMessage="1" errorTitle="Mensaje exitoso" error="El valor ingresado en la variable A es mayor al umbral, el cual es considerado no exitoso." sqref="J76" xr:uid="{00000000-0002-0000-0200-000007000000}"/>
    <dataValidation type="whole" operator="equal" allowBlank="1" showInputMessage="1" showErrorMessage="1" errorTitle="Error en la métrica" error="El valor ingresado en la variable T debe ser 12." sqref="J77" xr:uid="{00000000-0002-0000-0200-000008000000}">
      <formula1>12</formula1>
    </dataValidation>
  </dataValidation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B2:E10"/>
  <sheetViews>
    <sheetView showGridLines="0" workbookViewId="0">
      <selection activeCell="F13" sqref="F13"/>
    </sheetView>
  </sheetViews>
  <sheetFormatPr baseColWidth="10" defaultColWidth="11.42578125" defaultRowHeight="15" x14ac:dyDescent="0.25"/>
  <cols>
    <col min="1" max="1" width="11.42578125" style="1"/>
    <col min="2" max="2" width="17.85546875" style="1" customWidth="1"/>
    <col min="3" max="3" width="30.28515625" style="1" customWidth="1"/>
    <col min="4" max="5" width="30.42578125" style="1" customWidth="1"/>
    <col min="6" max="16384" width="11.42578125" style="1"/>
  </cols>
  <sheetData>
    <row r="2" spans="2:5" ht="32.25" customHeight="1" x14ac:dyDescent="0.25">
      <c r="B2" s="278" t="s">
        <v>340</v>
      </c>
      <c r="C2" s="278"/>
      <c r="D2" s="278"/>
      <c r="E2" s="278"/>
    </row>
    <row r="3" spans="2:5" ht="30" customHeight="1" x14ac:dyDescent="0.25">
      <c r="B3" s="278"/>
      <c r="C3" s="278"/>
      <c r="D3" s="278"/>
      <c r="E3" s="278"/>
    </row>
    <row r="5" spans="2:5" ht="15.75" thickBot="1" x14ac:dyDescent="0.3"/>
    <row r="6" spans="2:5" ht="29.25" thickBot="1" x14ac:dyDescent="0.3">
      <c r="B6" s="19" t="s">
        <v>341</v>
      </c>
      <c r="C6" s="19" t="s">
        <v>342</v>
      </c>
      <c r="D6" s="19" t="s">
        <v>343</v>
      </c>
      <c r="E6" s="19" t="s">
        <v>344</v>
      </c>
    </row>
    <row r="7" spans="2:5" ht="38.25" customHeight="1" thickBot="1" x14ac:dyDescent="0.3">
      <c r="B7" s="2" t="s">
        <v>345</v>
      </c>
      <c r="C7" s="3">
        <f>'CALIDAD INTERNA'!P7</f>
        <v>5.3741692001621439</v>
      </c>
      <c r="D7" s="2" t="str">
        <f>IF($C7&lt;2.75,"INACEPTABLE",IF($C7&lt;5,"MINIMAMENTE ACEPTABLE",IF($C7&lt;8.75,"RANGO OBJETIVO","EXCEDE LOS REQUISITOS")))</f>
        <v>RANGO OBJETIVO</v>
      </c>
      <c r="E7" s="2" t="str">
        <f>IF($C7&lt;5,"INSATISFACTORIO",IF($C7&lt;8.75,"SATISFACTORIO","MUY SATISFACTORIO"))</f>
        <v>SATISFACTORIO</v>
      </c>
    </row>
    <row r="8" spans="2:5" ht="35.25" customHeight="1" thickBot="1" x14ac:dyDescent="0.3">
      <c r="B8" s="2" t="s">
        <v>346</v>
      </c>
      <c r="C8" s="3">
        <f>'CALIDAD EXTERNA'!P7</f>
        <v>3.7733730535840238</v>
      </c>
      <c r="D8" s="2" t="str">
        <f>IF($C8&lt;2.75,"INACEPTABLE",IF($C8&lt;5,"MINIMAMENTE ACEPTABLE",IF($C8&lt;8.75,"RANGO OBJETIVO","EXCEDE LOS REQUISITOS")))</f>
        <v>MINIMAMENTE ACEPTABLE</v>
      </c>
      <c r="E8" s="2" t="str">
        <f>IF($C8&lt;5,"INSATISFACTORIO",IF($C8&lt;8.75,"SATISFACTORIO","MUY SATISFACTORIO"))</f>
        <v>INSATISFACTORIO</v>
      </c>
    </row>
    <row r="9" spans="2:5" ht="32.25" customHeight="1" thickBot="1" x14ac:dyDescent="0.3">
      <c r="B9" s="2" t="s">
        <v>347</v>
      </c>
      <c r="C9" s="3">
        <f>'CALIDAD EN USO'!P7</f>
        <v>6.4888888888888889</v>
      </c>
      <c r="D9" s="2" t="str">
        <f>IF($C9&lt;2.75,"INACEPTABLE",IF($C9&lt;5,"MINIMAMENTE ACEPTABLE",IF($C9&lt;8.75,"RANGO OBJETIVO","EXCEDE LOS REQUISITOS")))</f>
        <v>RANGO OBJETIVO</v>
      </c>
      <c r="E9" s="2" t="str">
        <f>IF($C9&lt;5,"INSATISFACTORIO",IF($C9&lt;8.75,"SATISFACTORIO","MUY SATISFACTORIO"))</f>
        <v>SATISFACTORIO</v>
      </c>
    </row>
    <row r="10" spans="2:5" ht="36.75" customHeight="1" thickBot="1" x14ac:dyDescent="0.3">
      <c r="B10" s="4" t="s">
        <v>348</v>
      </c>
      <c r="C10" s="5">
        <f>AVERAGE(C7:C9)</f>
        <v>5.2121437142116855</v>
      </c>
      <c r="D10" s="4" t="str">
        <f>IF($C10&lt;2.75,"INACEPTABLE",IF($C10&lt;5,"MINIMAMENTE ACEPTABLE",IF($C10&lt;8.75,"RANGO OBJETIVO","EXCEDE LOS REQUISITOS")))</f>
        <v>RANGO OBJETIVO</v>
      </c>
      <c r="E10" s="4" t="str">
        <f>IF($C10&lt;5,"INSATISFACTORIO",IF($C10&lt;8.75,"SATISFACTORIO","MUY SATISFACTORIO"))</f>
        <v>SATISFACTORIO</v>
      </c>
    </row>
  </sheetData>
  <sheetProtection algorithmName="SHA-512" hashValue="mDBy48f/O5DiyglFtve/ZrX6x6lb6I9F6TOxYVPssfFF1iQ++Ffo0+7jLuoE4oqjpZzvGXdcrefV5USFWsvyMg==" saltValue="zVnQl+gY49L5EjqRm5Q4Yg==" spinCount="100000" sheet="1" objects="1" scenarios="1"/>
  <mergeCells count="1">
    <mergeCell ref="B2:E3"/>
  </mergeCells>
  <pageMargins left="0.7" right="0.7" top="0.75" bottom="0.75" header="0.3" footer="0.3"/>
  <pageSetup paperSize="9" orientation="portrait" horizontalDpi="4294967294"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B5"/>
  <sheetViews>
    <sheetView workbookViewId="0">
      <selection activeCell="F14" sqref="F14"/>
    </sheetView>
  </sheetViews>
  <sheetFormatPr baseColWidth="10" defaultColWidth="11.42578125" defaultRowHeight="15" x14ac:dyDescent="0.25"/>
  <cols>
    <col min="1" max="1" width="16.28515625" style="1" customWidth="1"/>
    <col min="2" max="16384" width="11.42578125" style="1"/>
  </cols>
  <sheetData>
    <row r="1" spans="1:2" x14ac:dyDescent="0.25">
      <c r="A1" s="1" t="s">
        <v>349</v>
      </c>
      <c r="B1" s="1" t="s">
        <v>349</v>
      </c>
    </row>
    <row r="2" spans="1:2" x14ac:dyDescent="0.25">
      <c r="A2" s="1" t="s">
        <v>21</v>
      </c>
      <c r="B2" s="1" t="s">
        <v>19</v>
      </c>
    </row>
    <row r="3" spans="1:2" x14ac:dyDescent="0.25">
      <c r="A3" s="1" t="s">
        <v>40</v>
      </c>
      <c r="B3" s="1" t="s">
        <v>29</v>
      </c>
    </row>
    <row r="4" spans="1:2" x14ac:dyDescent="0.25">
      <c r="A4" s="1" t="s">
        <v>134</v>
      </c>
    </row>
    <row r="5" spans="1:2" x14ac:dyDescent="0.25">
      <c r="A5" s="1" t="s">
        <v>192</v>
      </c>
    </row>
  </sheetData>
  <dataValidations count="1">
    <dataValidation type="list" allowBlank="1" showInputMessage="1" showErrorMessage="1" sqref="A9" xr:uid="{00000000-0002-0000-0400-000000000000}">
      <formula1>$A$2:$A$5</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1000000}">
          <x14:formula1>
            <xm:f>AND(importancia,IF('CALIDAD INTERNA'!M7:M10&lt;&gt;"M","Verdadero","falso"))</xm:f>
          </x14:formula1>
          <xm:sqref>A8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F29"/>
  <sheetViews>
    <sheetView topLeftCell="F22" workbookViewId="0">
      <selection activeCell="F7" sqref="F7"/>
    </sheetView>
  </sheetViews>
  <sheetFormatPr baseColWidth="10" defaultColWidth="11.42578125" defaultRowHeight="15" x14ac:dyDescent="0.25"/>
  <cols>
    <col min="1" max="1" width="19.42578125" customWidth="1"/>
    <col min="2" max="3" width="19.42578125" style="1" customWidth="1"/>
    <col min="4" max="4" width="19.7109375" customWidth="1"/>
    <col min="5" max="5" width="14.140625" customWidth="1"/>
    <col min="6" max="6" width="16.140625" customWidth="1"/>
  </cols>
  <sheetData>
    <row r="1" spans="4:6" s="1" customFormat="1" x14ac:dyDescent="0.25"/>
    <row r="2" spans="4:6" s="1" customFormat="1" x14ac:dyDescent="0.25">
      <c r="D2" s="1" t="s">
        <v>350</v>
      </c>
    </row>
    <row r="4" spans="4:6" x14ac:dyDescent="0.25">
      <c r="D4" s="1"/>
      <c r="E4" s="1" t="s">
        <v>351</v>
      </c>
      <c r="F4" s="1" t="s">
        <v>352</v>
      </c>
    </row>
    <row r="5" spans="4:6" x14ac:dyDescent="0.25">
      <c r="D5" s="32">
        <f>'RESULTADO FINAL'!C10</f>
        <v>5.2121437142116855</v>
      </c>
      <c r="E5" s="36">
        <f>D5/10</f>
        <v>0.52121437142116855</v>
      </c>
      <c r="F5" s="33">
        <v>0.17</v>
      </c>
    </row>
    <row r="6" spans="4:6" x14ac:dyDescent="0.25">
      <c r="D6" s="1"/>
      <c r="E6" s="34"/>
      <c r="F6" s="35"/>
    </row>
    <row r="23" spans="2:6" x14ac:dyDescent="0.25">
      <c r="D23" s="1" t="s">
        <v>353</v>
      </c>
      <c r="E23" s="1"/>
      <c r="F23" s="1"/>
    </row>
    <row r="25" spans="2:6" x14ac:dyDescent="0.25">
      <c r="B25" s="37" t="s">
        <v>354</v>
      </c>
      <c r="C25" s="37" t="s">
        <v>355</v>
      </c>
      <c r="D25" s="37" t="s">
        <v>356</v>
      </c>
      <c r="E25" s="1"/>
      <c r="F25" s="1"/>
    </row>
    <row r="26" spans="2:6" x14ac:dyDescent="0.25">
      <c r="B26" s="1" t="s">
        <v>357</v>
      </c>
      <c r="C26" s="1" t="str">
        <f>'RESULTADO FINAL'!E7</f>
        <v>SATISFACTORIO</v>
      </c>
      <c r="D26" s="33">
        <f>'RESULTADO FINAL'!C7/10</f>
        <v>0.53741692001621444</v>
      </c>
      <c r="E26" s="1"/>
      <c r="F26" s="35"/>
    </row>
    <row r="27" spans="2:6" x14ac:dyDescent="0.25">
      <c r="B27" s="1" t="s">
        <v>358</v>
      </c>
      <c r="C27" s="1" t="str">
        <f>'RESULTADO FINAL'!E8</f>
        <v>INSATISFACTORIO</v>
      </c>
      <c r="D27" s="33">
        <f>'RESULTADO FINAL'!C8/10</f>
        <v>0.37733730535840238</v>
      </c>
      <c r="E27" s="1"/>
      <c r="F27" s="35"/>
    </row>
    <row r="28" spans="2:6" x14ac:dyDescent="0.25">
      <c r="B28" s="1" t="s">
        <v>359</v>
      </c>
      <c r="C28" s="1" t="str">
        <f>'RESULTADO FINAL'!E9</f>
        <v>SATISFACTORIO</v>
      </c>
      <c r="D28" s="33">
        <f>'RESULTADO FINAL'!C9/10</f>
        <v>0.64888888888888885</v>
      </c>
      <c r="E28" s="1"/>
      <c r="F28" s="35"/>
    </row>
    <row r="29" spans="2:6" x14ac:dyDescent="0.25">
      <c r="B29" s="1" t="s">
        <v>360</v>
      </c>
      <c r="C29" s="1" t="str">
        <f>'RESULTADO FINAL'!E10</f>
        <v>SATISFACTORIO</v>
      </c>
      <c r="D29" s="33">
        <f>'RESULTADO FINAL'!C10/10</f>
        <v>0.52121437142116855</v>
      </c>
      <c r="E29" s="1"/>
      <c r="F29" s="1"/>
    </row>
  </sheetData>
  <pageMargins left="0.7" right="0.7" top="0.75" bottom="0.75" header="0.3" footer="0.3"/>
  <pageSetup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M27"/>
  <sheetViews>
    <sheetView zoomScale="115" zoomScaleNormal="115" workbookViewId="0">
      <selection activeCell="F24" sqref="F24"/>
    </sheetView>
  </sheetViews>
  <sheetFormatPr baseColWidth="10" defaultColWidth="11.42578125" defaultRowHeight="15" x14ac:dyDescent="0.25"/>
  <cols>
    <col min="1" max="1" width="8.5703125" style="1" customWidth="1"/>
    <col min="2" max="2" width="6.42578125" customWidth="1"/>
    <col min="3" max="3" width="17.140625" customWidth="1"/>
    <col min="4" max="4" width="14" style="1" customWidth="1"/>
    <col min="5" max="5" width="13.140625" customWidth="1"/>
    <col min="6" max="6" width="14.5703125" customWidth="1"/>
    <col min="8" max="8" width="14.85546875" customWidth="1"/>
    <col min="9" max="9" width="13.85546875" customWidth="1"/>
    <col min="11" max="11" width="17" customWidth="1"/>
  </cols>
  <sheetData>
    <row r="3" spans="2:13" ht="25.5" customHeight="1" thickBot="1" x14ac:dyDescent="0.3">
      <c r="B3" s="49"/>
      <c r="C3" s="283" t="s">
        <v>361</v>
      </c>
      <c r="D3" s="283"/>
      <c r="E3" s="283"/>
      <c r="F3" s="283"/>
      <c r="G3" s="283"/>
      <c r="H3" s="283"/>
      <c r="I3" s="283"/>
      <c r="J3" s="1"/>
      <c r="K3" s="1"/>
      <c r="L3" s="1"/>
      <c r="M3" s="1"/>
    </row>
    <row r="4" spans="2:13" ht="47.25" customHeight="1" thickBot="1" x14ac:dyDescent="0.3">
      <c r="B4" s="279" t="s">
        <v>362</v>
      </c>
      <c r="C4" s="44" t="s">
        <v>363</v>
      </c>
      <c r="D4" s="45" t="s">
        <v>364</v>
      </c>
      <c r="E4" s="45" t="s">
        <v>365</v>
      </c>
      <c r="F4" s="45" t="s">
        <v>366</v>
      </c>
      <c r="G4" s="45" t="s">
        <v>367</v>
      </c>
      <c r="H4" s="45" t="s">
        <v>368</v>
      </c>
      <c r="I4" s="45" t="s">
        <v>369</v>
      </c>
      <c r="J4" s="1"/>
      <c r="K4" s="1"/>
      <c r="L4" s="51" t="s">
        <v>370</v>
      </c>
      <c r="M4" s="51"/>
    </row>
    <row r="5" spans="2:13" ht="29.25" customHeight="1" thickBot="1" x14ac:dyDescent="0.3">
      <c r="B5" s="279"/>
      <c r="C5" s="38" t="s">
        <v>15</v>
      </c>
      <c r="D5" s="39">
        <v>10</v>
      </c>
      <c r="E5" s="40" t="s">
        <v>40</v>
      </c>
      <c r="F5" s="41">
        <v>0.2</v>
      </c>
      <c r="G5" s="39">
        <f>D5*F5</f>
        <v>2</v>
      </c>
      <c r="H5" s="280">
        <f>SUM(G5:G12)</f>
        <v>7.3665000000000003</v>
      </c>
      <c r="I5" s="284">
        <f>AVERAGE(H5,H14,H23)</f>
        <v>8.3551666666666673</v>
      </c>
      <c r="J5" s="1"/>
      <c r="K5" s="52" t="s">
        <v>15</v>
      </c>
      <c r="L5" s="33">
        <f t="shared" ref="L5:L12" si="0">G5/10</f>
        <v>0.2</v>
      </c>
      <c r="M5" s="33"/>
    </row>
    <row r="6" spans="2:13" ht="20.25" customHeight="1" thickBot="1" x14ac:dyDescent="0.3">
      <c r="B6" s="279"/>
      <c r="C6" s="42" t="s">
        <v>36</v>
      </c>
      <c r="D6" s="39">
        <v>10</v>
      </c>
      <c r="E6" s="40" t="s">
        <v>40</v>
      </c>
      <c r="F6" s="43">
        <v>0.1</v>
      </c>
      <c r="G6" s="39">
        <f t="shared" ref="G6:G12" si="1">D6*F6</f>
        <v>1</v>
      </c>
      <c r="H6" s="281"/>
      <c r="I6" s="285"/>
      <c r="J6" s="1"/>
      <c r="K6" s="52" t="s">
        <v>36</v>
      </c>
      <c r="L6" s="33">
        <f t="shared" si="0"/>
        <v>0.1</v>
      </c>
      <c r="M6" s="1"/>
    </row>
    <row r="7" spans="2:13" ht="27" customHeight="1" thickBot="1" x14ac:dyDescent="0.3">
      <c r="B7" s="279"/>
      <c r="C7" s="38" t="s">
        <v>68</v>
      </c>
      <c r="D7" s="39">
        <v>5.6</v>
      </c>
      <c r="E7" s="40" t="s">
        <v>40</v>
      </c>
      <c r="F7" s="43">
        <v>0.15</v>
      </c>
      <c r="G7" s="39">
        <f t="shared" si="1"/>
        <v>0.84</v>
      </c>
      <c r="H7" s="281"/>
      <c r="I7" s="285"/>
      <c r="J7" s="1"/>
      <c r="K7" s="52" t="s">
        <v>68</v>
      </c>
      <c r="L7" s="33">
        <f t="shared" si="0"/>
        <v>8.3999999999999991E-2</v>
      </c>
      <c r="M7" s="1"/>
    </row>
    <row r="8" spans="2:13" ht="19.5" customHeight="1" thickBot="1" x14ac:dyDescent="0.3">
      <c r="B8" s="279"/>
      <c r="C8" s="42" t="s">
        <v>103</v>
      </c>
      <c r="D8" s="39">
        <v>7.53</v>
      </c>
      <c r="E8" s="40" t="s">
        <v>40</v>
      </c>
      <c r="F8" s="43">
        <v>0.15</v>
      </c>
      <c r="G8" s="39">
        <f t="shared" si="1"/>
        <v>1.1294999999999999</v>
      </c>
      <c r="H8" s="281"/>
      <c r="I8" s="285"/>
      <c r="J8" s="1"/>
      <c r="K8" s="52" t="s">
        <v>103</v>
      </c>
      <c r="L8" s="33">
        <f t="shared" si="0"/>
        <v>0.11294999999999999</v>
      </c>
      <c r="M8" s="1"/>
    </row>
    <row r="9" spans="2:13" ht="19.5" customHeight="1" thickBot="1" x14ac:dyDescent="0.3">
      <c r="B9" s="279"/>
      <c r="C9" s="38" t="s">
        <v>130</v>
      </c>
      <c r="D9" s="39">
        <v>1.67</v>
      </c>
      <c r="E9" s="40" t="s">
        <v>40</v>
      </c>
      <c r="F9" s="43">
        <v>0.1</v>
      </c>
      <c r="G9" s="39">
        <f t="shared" si="1"/>
        <v>0.16700000000000001</v>
      </c>
      <c r="H9" s="281"/>
      <c r="I9" s="285"/>
      <c r="J9" s="1"/>
      <c r="K9" s="52" t="s">
        <v>130</v>
      </c>
      <c r="L9" s="33">
        <f t="shared" si="0"/>
        <v>1.67E-2</v>
      </c>
      <c r="M9" s="1"/>
    </row>
    <row r="10" spans="2:13" ht="18.75" customHeight="1" thickBot="1" x14ac:dyDescent="0.3">
      <c r="B10" s="279"/>
      <c r="C10" s="42" t="s">
        <v>153</v>
      </c>
      <c r="D10" s="39">
        <v>10</v>
      </c>
      <c r="E10" s="40" t="s">
        <v>134</v>
      </c>
      <c r="F10" s="43">
        <v>0.05</v>
      </c>
      <c r="G10" s="39">
        <f t="shared" si="1"/>
        <v>0.5</v>
      </c>
      <c r="H10" s="281"/>
      <c r="I10" s="285"/>
      <c r="J10" s="1"/>
      <c r="K10" s="52" t="s">
        <v>153</v>
      </c>
      <c r="L10" s="33">
        <f t="shared" si="0"/>
        <v>0.05</v>
      </c>
      <c r="M10" s="1"/>
    </row>
    <row r="11" spans="2:13" ht="18" customHeight="1" thickBot="1" x14ac:dyDescent="0.3">
      <c r="B11" s="279"/>
      <c r="C11" s="38" t="s">
        <v>165</v>
      </c>
      <c r="D11" s="39">
        <v>6.92</v>
      </c>
      <c r="E11" s="40" t="s">
        <v>21</v>
      </c>
      <c r="F11" s="43">
        <v>0.25</v>
      </c>
      <c r="G11" s="39">
        <f t="shared" si="1"/>
        <v>1.73</v>
      </c>
      <c r="H11" s="281"/>
      <c r="I11" s="285"/>
      <c r="J11" s="1"/>
      <c r="K11" s="52" t="s">
        <v>165</v>
      </c>
      <c r="L11" s="33">
        <f t="shared" si="0"/>
        <v>0.17299999999999999</v>
      </c>
      <c r="M11" s="1"/>
    </row>
    <row r="12" spans="2:13" ht="18.75" customHeight="1" thickBot="1" x14ac:dyDescent="0.3">
      <c r="B12" s="279"/>
      <c r="C12" s="42" t="s">
        <v>188</v>
      </c>
      <c r="D12" s="39">
        <v>0</v>
      </c>
      <c r="E12" s="40" t="s">
        <v>192</v>
      </c>
      <c r="F12" s="43">
        <v>0</v>
      </c>
      <c r="G12" s="39">
        <f t="shared" si="1"/>
        <v>0</v>
      </c>
      <c r="H12" s="282"/>
      <c r="I12" s="285"/>
      <c r="J12" s="1"/>
      <c r="K12" s="52" t="s">
        <v>188</v>
      </c>
      <c r="L12" s="33">
        <f t="shared" si="0"/>
        <v>0</v>
      </c>
      <c r="M12" s="1"/>
    </row>
    <row r="13" spans="2:13" s="1" customFormat="1" ht="3" customHeight="1" thickBot="1" x14ac:dyDescent="0.3">
      <c r="C13" s="287"/>
      <c r="D13" s="283"/>
      <c r="E13" s="283"/>
      <c r="F13" s="283"/>
      <c r="G13" s="283"/>
      <c r="H13" s="283"/>
      <c r="I13" s="285"/>
    </row>
    <row r="14" spans="2:13" s="1" customFormat="1" ht="29.25" customHeight="1" thickBot="1" x14ac:dyDescent="0.3">
      <c r="B14" s="279" t="s">
        <v>371</v>
      </c>
      <c r="C14" s="38" t="s">
        <v>15</v>
      </c>
      <c r="D14" s="39">
        <v>10</v>
      </c>
      <c r="E14" s="40" t="s">
        <v>21</v>
      </c>
      <c r="F14" s="43">
        <v>0.2</v>
      </c>
      <c r="G14" s="39">
        <f>D14*F14</f>
        <v>2</v>
      </c>
      <c r="H14" s="280">
        <f>SUM(G14:G21)</f>
        <v>8.6289999999999996</v>
      </c>
      <c r="I14" s="285"/>
      <c r="K14" s="52" t="s">
        <v>15</v>
      </c>
      <c r="L14" s="33">
        <f t="shared" ref="L14:L21" si="2">G14/10</f>
        <v>0.2</v>
      </c>
    </row>
    <row r="15" spans="2:13" s="1" customFormat="1" ht="20.25" customHeight="1" thickBot="1" x14ac:dyDescent="0.3">
      <c r="B15" s="279"/>
      <c r="C15" s="42" t="s">
        <v>36</v>
      </c>
      <c r="D15" s="39">
        <v>7</v>
      </c>
      <c r="E15" s="46" t="s">
        <v>40</v>
      </c>
      <c r="F15" s="50">
        <v>0.15</v>
      </c>
      <c r="G15" s="39">
        <f t="shared" ref="G15:G21" si="3">D15*F15</f>
        <v>1.05</v>
      </c>
      <c r="H15" s="281"/>
      <c r="I15" s="285"/>
      <c r="K15" s="52" t="s">
        <v>36</v>
      </c>
      <c r="L15" s="33">
        <f t="shared" si="2"/>
        <v>0.10500000000000001</v>
      </c>
    </row>
    <row r="16" spans="2:13" s="1" customFormat="1" ht="27.75" customHeight="1" thickBot="1" x14ac:dyDescent="0.3">
      <c r="B16" s="279"/>
      <c r="C16" s="38" t="s">
        <v>68</v>
      </c>
      <c r="D16" s="39">
        <v>7</v>
      </c>
      <c r="E16" s="46" t="s">
        <v>40</v>
      </c>
      <c r="F16" s="50">
        <v>0.13</v>
      </c>
      <c r="G16" s="39">
        <f t="shared" si="3"/>
        <v>0.91</v>
      </c>
      <c r="H16" s="281"/>
      <c r="I16" s="285"/>
      <c r="K16" s="52" t="s">
        <v>68</v>
      </c>
      <c r="L16" s="33">
        <f t="shared" si="2"/>
        <v>9.0999999999999998E-2</v>
      </c>
    </row>
    <row r="17" spans="2:12" s="1" customFormat="1" ht="19.5" customHeight="1" thickBot="1" x14ac:dyDescent="0.3">
      <c r="B17" s="279"/>
      <c r="C17" s="42" t="s">
        <v>103</v>
      </c>
      <c r="D17" s="39">
        <v>6.46</v>
      </c>
      <c r="E17" s="46" t="s">
        <v>40</v>
      </c>
      <c r="F17" s="50">
        <v>0.15</v>
      </c>
      <c r="G17" s="39">
        <f t="shared" si="3"/>
        <v>0.96899999999999997</v>
      </c>
      <c r="H17" s="281"/>
      <c r="I17" s="285"/>
      <c r="K17" s="52" t="s">
        <v>103</v>
      </c>
      <c r="L17" s="33">
        <f t="shared" si="2"/>
        <v>9.69E-2</v>
      </c>
    </row>
    <row r="18" spans="2:12" s="1" customFormat="1" ht="19.5" customHeight="1" thickBot="1" x14ac:dyDescent="0.3">
      <c r="B18" s="279"/>
      <c r="C18" s="38" t="s">
        <v>130</v>
      </c>
      <c r="D18" s="39">
        <v>10</v>
      </c>
      <c r="E18" s="46" t="s">
        <v>134</v>
      </c>
      <c r="F18" s="50">
        <v>0.05</v>
      </c>
      <c r="G18" s="39">
        <f t="shared" si="3"/>
        <v>0.5</v>
      </c>
      <c r="H18" s="281"/>
      <c r="I18" s="285"/>
      <c r="K18" s="52" t="s">
        <v>130</v>
      </c>
      <c r="L18" s="33">
        <f t="shared" si="2"/>
        <v>0.05</v>
      </c>
    </row>
    <row r="19" spans="2:12" s="1" customFormat="1" ht="18.75" customHeight="1" thickBot="1" x14ac:dyDescent="0.3">
      <c r="B19" s="279"/>
      <c r="C19" s="42" t="s">
        <v>153</v>
      </c>
      <c r="D19" s="39">
        <v>10</v>
      </c>
      <c r="E19" s="46" t="s">
        <v>21</v>
      </c>
      <c r="F19" s="50">
        <v>0.2</v>
      </c>
      <c r="G19" s="39">
        <f t="shared" si="3"/>
        <v>2</v>
      </c>
      <c r="H19" s="281"/>
      <c r="I19" s="285"/>
      <c r="K19" s="52" t="s">
        <v>153</v>
      </c>
      <c r="L19" s="33">
        <f t="shared" si="2"/>
        <v>0.2</v>
      </c>
    </row>
    <row r="20" spans="2:12" s="1" customFormat="1" ht="18" customHeight="1" thickBot="1" x14ac:dyDescent="0.3">
      <c r="B20" s="279"/>
      <c r="C20" s="38" t="s">
        <v>165</v>
      </c>
      <c r="D20" s="39">
        <v>10</v>
      </c>
      <c r="E20" s="46" t="s">
        <v>40</v>
      </c>
      <c r="F20" s="50">
        <v>0.12</v>
      </c>
      <c r="G20" s="39">
        <f t="shared" si="3"/>
        <v>1.2</v>
      </c>
      <c r="H20" s="281"/>
      <c r="I20" s="285"/>
      <c r="K20" s="52" t="s">
        <v>165</v>
      </c>
      <c r="L20" s="33">
        <f t="shared" si="2"/>
        <v>0.12</v>
      </c>
    </row>
    <row r="21" spans="2:12" s="1" customFormat="1" ht="18.75" customHeight="1" thickBot="1" x14ac:dyDescent="0.3">
      <c r="B21" s="279"/>
      <c r="C21" s="42" t="s">
        <v>188</v>
      </c>
      <c r="D21" s="39">
        <v>0</v>
      </c>
      <c r="E21" s="46" t="s">
        <v>192</v>
      </c>
      <c r="F21" s="50">
        <v>0</v>
      </c>
      <c r="G21" s="39">
        <f t="shared" si="3"/>
        <v>0</v>
      </c>
      <c r="H21" s="282"/>
      <c r="I21" s="285"/>
      <c r="K21" s="52" t="s">
        <v>188</v>
      </c>
      <c r="L21" s="33">
        <f t="shared" si="2"/>
        <v>0</v>
      </c>
    </row>
    <row r="22" spans="2:12" ht="3" customHeight="1" thickBot="1" x14ac:dyDescent="0.3">
      <c r="B22" s="1"/>
      <c r="C22" s="287"/>
      <c r="D22" s="283"/>
      <c r="E22" s="283"/>
      <c r="F22" s="283"/>
      <c r="G22" s="283"/>
      <c r="H22" s="283"/>
      <c r="I22" s="285"/>
      <c r="J22" s="1"/>
      <c r="K22" s="1"/>
      <c r="L22" s="1"/>
    </row>
    <row r="23" spans="2:12" ht="21" customHeight="1" thickBot="1" x14ac:dyDescent="0.3">
      <c r="B23" s="279" t="s">
        <v>372</v>
      </c>
      <c r="C23" s="39" t="s">
        <v>264</v>
      </c>
      <c r="D23" s="39">
        <v>10</v>
      </c>
      <c r="E23" s="39" t="s">
        <v>21</v>
      </c>
      <c r="F23" s="48">
        <v>0.3</v>
      </c>
      <c r="G23" s="39">
        <f>D23*F23</f>
        <v>3</v>
      </c>
      <c r="H23" s="280">
        <f>SUM(G23:G27)</f>
        <v>9.07</v>
      </c>
      <c r="I23" s="285"/>
      <c r="J23" s="1"/>
      <c r="K23" s="52" t="s">
        <v>264</v>
      </c>
      <c r="L23" s="33">
        <f>G23/10</f>
        <v>0.3</v>
      </c>
    </row>
    <row r="24" spans="2:12" ht="21.75" customHeight="1" thickBot="1" x14ac:dyDescent="0.3">
      <c r="B24" s="279"/>
      <c r="C24" s="42" t="s">
        <v>271</v>
      </c>
      <c r="D24" s="39">
        <v>7.35</v>
      </c>
      <c r="E24" s="47" t="s">
        <v>40</v>
      </c>
      <c r="F24" s="48">
        <v>0.2</v>
      </c>
      <c r="G24" s="39">
        <f t="shared" ref="G24:G27" si="4">D24*F24</f>
        <v>1.47</v>
      </c>
      <c r="H24" s="281"/>
      <c r="I24" s="285"/>
      <c r="J24" s="1"/>
      <c r="K24" s="52" t="s">
        <v>271</v>
      </c>
      <c r="L24" s="33">
        <f>G24/10</f>
        <v>0.14699999999999999</v>
      </c>
    </row>
    <row r="25" spans="2:12" ht="20.25" customHeight="1" thickBot="1" x14ac:dyDescent="0.3">
      <c r="B25" s="279"/>
      <c r="C25" s="38" t="s">
        <v>287</v>
      </c>
      <c r="D25" s="39">
        <v>9</v>
      </c>
      <c r="E25" s="47" t="s">
        <v>21</v>
      </c>
      <c r="F25" s="48">
        <v>0.4</v>
      </c>
      <c r="G25" s="39">
        <f t="shared" si="4"/>
        <v>3.6</v>
      </c>
      <c r="H25" s="281"/>
      <c r="I25" s="285"/>
      <c r="J25" s="1"/>
      <c r="K25" s="52" t="s">
        <v>287</v>
      </c>
      <c r="L25" s="33">
        <f>G25/10</f>
        <v>0.36</v>
      </c>
    </row>
    <row r="26" spans="2:12" ht="21" customHeight="1" thickBot="1" x14ac:dyDescent="0.3">
      <c r="B26" s="279"/>
      <c r="C26" s="42" t="s">
        <v>295</v>
      </c>
      <c r="D26" s="39">
        <v>10</v>
      </c>
      <c r="E26" s="47" t="s">
        <v>40</v>
      </c>
      <c r="F26" s="48">
        <v>0.1</v>
      </c>
      <c r="G26" s="39">
        <f t="shared" si="4"/>
        <v>1</v>
      </c>
      <c r="H26" s="281"/>
      <c r="I26" s="285"/>
      <c r="J26" s="1"/>
      <c r="K26" s="52" t="s">
        <v>295</v>
      </c>
      <c r="L26" s="33">
        <f>G26/10</f>
        <v>0.1</v>
      </c>
    </row>
    <row r="27" spans="2:12" ht="29.25" customHeight="1" thickBot="1" x14ac:dyDescent="0.3">
      <c r="B27" s="279"/>
      <c r="C27" s="46" t="s">
        <v>373</v>
      </c>
      <c r="D27" s="39">
        <v>0</v>
      </c>
      <c r="E27" s="47" t="s">
        <v>134</v>
      </c>
      <c r="F27" s="48">
        <v>0</v>
      </c>
      <c r="G27" s="39">
        <f t="shared" si="4"/>
        <v>0</v>
      </c>
      <c r="H27" s="282"/>
      <c r="I27" s="286"/>
      <c r="J27" s="1"/>
      <c r="K27" s="52" t="s">
        <v>373</v>
      </c>
      <c r="L27" s="33">
        <f>G27/10</f>
        <v>0</v>
      </c>
    </row>
  </sheetData>
  <mergeCells count="10">
    <mergeCell ref="B23:B27"/>
    <mergeCell ref="H23:H27"/>
    <mergeCell ref="C3:I3"/>
    <mergeCell ref="I5:I27"/>
    <mergeCell ref="H5:H12"/>
    <mergeCell ref="C13:H13"/>
    <mergeCell ref="H14:H21"/>
    <mergeCell ref="B14:B21"/>
    <mergeCell ref="B4:B12"/>
    <mergeCell ref="C22:H22"/>
  </mergeCells>
  <pageMargins left="0.7" right="0.7" top="0.75" bottom="0.75" header="0.3" footer="0.3"/>
  <pageSetup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4</vt:i4>
      </vt:variant>
    </vt:vector>
  </HeadingPairs>
  <TitlesOfParts>
    <vt:vector size="11" baseType="lpstr">
      <vt:lpstr>CALIDAD EXTERNA</vt:lpstr>
      <vt:lpstr>CALIDAD INTERNA</vt:lpstr>
      <vt:lpstr>CALIDAD EN USO</vt:lpstr>
      <vt:lpstr>RESULTADO FINAL</vt:lpstr>
      <vt:lpstr>Listas</vt:lpstr>
      <vt:lpstr>Hoja1</vt:lpstr>
      <vt:lpstr>Hoja2</vt:lpstr>
      <vt:lpstr>aplica</vt:lpstr>
      <vt:lpstr>aplica2</vt:lpstr>
      <vt:lpstr>importancia</vt:lpstr>
      <vt:lpstr>importancia2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Onofa</dc:creator>
  <cp:keywords/>
  <dc:description/>
  <cp:lastModifiedBy>Jacinto Palma</cp:lastModifiedBy>
  <cp:revision/>
  <dcterms:created xsi:type="dcterms:W3CDTF">2014-07-03T15:17:31Z</dcterms:created>
  <dcterms:modified xsi:type="dcterms:W3CDTF">2019-05-21T17:18:31Z</dcterms:modified>
  <cp:category/>
  <cp:contentStatus/>
</cp:coreProperties>
</file>