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R11" i="1" l="1"/>
  <c r="K3" i="1" l="1"/>
  <c r="K14" i="1"/>
  <c r="H4" i="1"/>
  <c r="J12" i="1" l="1"/>
  <c r="J11" i="1"/>
  <c r="J10" i="1"/>
  <c r="J9" i="1"/>
  <c r="J8" i="1"/>
  <c r="J7" i="1"/>
  <c r="K12" i="1"/>
  <c r="K11" i="1"/>
  <c r="N11" i="1" s="1"/>
  <c r="K10" i="1"/>
  <c r="K9" i="1"/>
  <c r="K8" i="1"/>
  <c r="K7" i="1"/>
  <c r="N7" i="1" s="1"/>
  <c r="K6" i="1"/>
  <c r="J6" i="1"/>
  <c r="H8" i="1"/>
  <c r="R10" i="1" s="1"/>
  <c r="H9" i="1"/>
  <c r="H2" i="1"/>
  <c r="M12" i="1" s="1"/>
  <c r="H5" i="1"/>
  <c r="H3" i="1"/>
  <c r="E10" i="1"/>
  <c r="Q3" i="1" s="1"/>
  <c r="E8" i="1"/>
  <c r="E9" i="1"/>
  <c r="E7" i="1"/>
  <c r="B9" i="1"/>
  <c r="B8" i="1"/>
  <c r="E3" i="1"/>
  <c r="B4" i="1"/>
  <c r="B3" i="1"/>
  <c r="B1" i="1"/>
  <c r="B6" i="1"/>
  <c r="B5" i="1"/>
  <c r="M9" i="1" l="1"/>
  <c r="M6" i="1"/>
  <c r="N6" i="1"/>
  <c r="N10" i="1"/>
  <c r="Q4" i="1"/>
  <c r="Q5" i="1" s="1"/>
  <c r="Q9" i="1" s="1"/>
  <c r="Q8" i="1"/>
  <c r="N8" i="1"/>
  <c r="N12" i="1"/>
  <c r="M10" i="1"/>
  <c r="R9" i="1"/>
  <c r="N9" i="1"/>
  <c r="M7" i="1"/>
  <c r="M11" i="1"/>
  <c r="M8" i="1"/>
  <c r="Q10" i="1"/>
  <c r="S10" i="1" s="1"/>
  <c r="T10" i="1" s="1"/>
  <c r="N14" i="1" l="1"/>
  <c r="R8" i="1"/>
  <c r="S8" i="1" s="1"/>
  <c r="T8" i="1" s="1"/>
  <c r="Q11" i="1"/>
  <c r="S9" i="1"/>
  <c r="T9" i="1" s="1"/>
  <c r="S11" i="1" l="1"/>
  <c r="T11" i="1" s="1"/>
</calcChain>
</file>

<file path=xl/sharedStrings.xml><?xml version="1.0" encoding="utf-8"?>
<sst xmlns="http://schemas.openxmlformats.org/spreadsheetml/2006/main" count="48" uniqueCount="44">
  <si>
    <t>C, F</t>
  </si>
  <si>
    <t>R1, Om</t>
  </si>
  <si>
    <t>R2, Om</t>
  </si>
  <si>
    <t>Rк, Om</t>
  </si>
  <si>
    <t>Rн, Оm</t>
  </si>
  <si>
    <t>При відключеному генераторі:</t>
  </si>
  <si>
    <t>Uке, В</t>
  </si>
  <si>
    <t>Uжив, В</t>
  </si>
  <si>
    <t>Uвх, В</t>
  </si>
  <si>
    <t>f, Гц</t>
  </si>
  <si>
    <t>Робоча точка:</t>
  </si>
  <si>
    <t>Uвих/Uвх</t>
  </si>
  <si>
    <t>Вхідний опір</t>
  </si>
  <si>
    <t>Вихідний опір</t>
  </si>
  <si>
    <t>Амплітудна характеристика</t>
  </si>
  <si>
    <t>Ku</t>
  </si>
  <si>
    <t>Ki</t>
  </si>
  <si>
    <t>Завдання 7, теоретичні розрахунки</t>
  </si>
  <si>
    <t>Uвх, мВ</t>
  </si>
  <si>
    <t>Uвих, мВ</t>
  </si>
  <si>
    <t>Iвх, мкА</t>
  </si>
  <si>
    <t>Iвих, мкА</t>
  </si>
  <si>
    <t>теоретично</t>
  </si>
  <si>
    <t>практично</t>
  </si>
  <si>
    <t>β</t>
  </si>
  <si>
    <t>абсолютна похибка, Δ</t>
  </si>
  <si>
    <t>відносна похибка, δ, %</t>
  </si>
  <si>
    <t>Подали 14мВ 1кГц:</t>
  </si>
  <si>
    <t>Rвих, Om</t>
  </si>
  <si>
    <t>Rвх, Om</t>
  </si>
  <si>
    <t>Urн = Urвих = Uхх/2 = 0.5В</t>
  </si>
  <si>
    <t>Uвх max, А</t>
  </si>
  <si>
    <t>Iб0,А</t>
  </si>
  <si>
    <t>Uбе0,В</t>
  </si>
  <si>
    <t>Uке0,В</t>
  </si>
  <si>
    <t>Iко,А</t>
  </si>
  <si>
    <t>Uвих,В</t>
  </si>
  <si>
    <t>Uвх,В</t>
  </si>
  <si>
    <t>Uxx, В</t>
  </si>
  <si>
    <t>g_m,мС</t>
  </si>
  <si>
    <t>r_i,Ом</t>
  </si>
  <si>
    <t>Rвх,Ом</t>
  </si>
  <si>
    <t>Rвих,Ом</t>
  </si>
  <si>
    <t>Переконалися, що немає спотворень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</si>
</sst>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2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1" xfId="2" applyNumberFormat="1" applyAlignment="1">
      <alignment horizontal="center" vertical="center"/>
    </xf>
    <xf numFmtId="164" fontId="2" fillId="3" borderId="1" xfId="2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3" fillId="4" borderId="1" xfId="3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5">
    <cellStyle name="Вывод" xfId="2" builtinId="21"/>
    <cellStyle name="Нейтральный" xfId="4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Uвих(Uвх)</c:v>
          </c:tx>
          <c:cat>
            <c:numRef>
              <c:f>Лист1!$J$6:$J$12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Лист1!$K$6:$K$12</c:f>
              <c:numCache>
                <c:formatCode>General</c:formatCode>
                <c:ptCount val="7"/>
                <c:pt idx="0">
                  <c:v>381.8</c:v>
                </c:pt>
                <c:pt idx="1">
                  <c:v>485.9</c:v>
                </c:pt>
                <c:pt idx="2">
                  <c:v>643</c:v>
                </c:pt>
                <c:pt idx="3">
                  <c:v>763</c:v>
                </c:pt>
                <c:pt idx="4">
                  <c:v>890</c:v>
                </c:pt>
                <c:pt idx="5">
                  <c:v>1000</c:v>
                </c:pt>
                <c:pt idx="6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FD5-A374-3ED1AC05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4400"/>
        <c:axId val="158775936"/>
      </c:lineChart>
      <c:catAx>
        <c:axId val="1587744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uk-UA"/>
                  <a:t>вх, мВ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75936"/>
        <c:crosses val="autoZero"/>
        <c:auto val="1"/>
        <c:lblAlgn val="ctr"/>
        <c:lblOffset val="100"/>
        <c:noMultiLvlLbl val="0"/>
      </c:catAx>
      <c:valAx>
        <c:axId val="1587759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uk-UA"/>
                  <a:t>вих, мВ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7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Iвих(Iвх)</c:v>
          </c:tx>
          <c:cat>
            <c:numRef>
              <c:f>Лист1!$M$6:$M$12</c:f>
              <c:numCache>
                <c:formatCode>0.00</c:formatCode>
                <c:ptCount val="7"/>
                <c:pt idx="0">
                  <c:v>2.6542800265428004</c:v>
                </c:pt>
                <c:pt idx="1">
                  <c:v>3.9814200398142008</c:v>
                </c:pt>
                <c:pt idx="2">
                  <c:v>5.3085600530856007</c:v>
                </c:pt>
                <c:pt idx="3">
                  <c:v>6.6357000663570007</c:v>
                </c:pt>
                <c:pt idx="4">
                  <c:v>7.9628400796284016</c:v>
                </c:pt>
                <c:pt idx="5">
                  <c:v>9.2899800928997998</c:v>
                </c:pt>
                <c:pt idx="6">
                  <c:v>10.617120106171201</c:v>
                </c:pt>
              </c:numCache>
            </c:numRef>
          </c:cat>
          <c:val>
            <c:numRef>
              <c:f>Лист1!$N$6:$N$12</c:f>
              <c:numCache>
                <c:formatCode>0.00</c:formatCode>
                <c:ptCount val="7"/>
                <c:pt idx="0">
                  <c:v>38.18</c:v>
                </c:pt>
                <c:pt idx="1">
                  <c:v>48.589999999999996</c:v>
                </c:pt>
                <c:pt idx="2">
                  <c:v>64.3</c:v>
                </c:pt>
                <c:pt idx="3">
                  <c:v>76.300000000000011</c:v>
                </c:pt>
                <c:pt idx="4">
                  <c:v>89</c:v>
                </c:pt>
                <c:pt idx="5">
                  <c:v>100</c:v>
                </c:pt>
                <c:pt idx="6">
                  <c:v>111.8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1-410F-B5C8-292033D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6368"/>
        <c:axId val="159072256"/>
      </c:lineChart>
      <c:catAx>
        <c:axId val="159066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uk-UA"/>
                  <a:t>вх, мкА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9072256"/>
        <c:crosses val="autoZero"/>
        <c:auto val="1"/>
        <c:lblAlgn val="ctr"/>
        <c:lblOffset val="100"/>
        <c:noMultiLvlLbl val="0"/>
      </c:catAx>
      <c:valAx>
        <c:axId val="159072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uk-UA"/>
                  <a:t>вих, мкА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906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180974</xdr:rowOff>
    </xdr:from>
    <xdr:to>
      <xdr:col>8</xdr:col>
      <xdr:colOff>581025</xdr:colOff>
      <xdr:row>32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9524</xdr:rowOff>
    </xdr:from>
    <xdr:to>
      <xdr:col>20</xdr:col>
      <xdr:colOff>38100</xdr:colOff>
      <xdr:row>32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Normal="100" workbookViewId="0">
      <selection activeCell="V13" sqref="V13"/>
    </sheetView>
  </sheetViews>
  <sheetFormatPr defaultRowHeight="15" x14ac:dyDescent="0.25"/>
  <cols>
    <col min="1" max="2" width="8" style="2" bestFit="1" customWidth="1"/>
    <col min="3" max="3" width="10.5703125" style="2" bestFit="1" customWidth="1"/>
    <col min="4" max="4" width="21.5703125" style="2" bestFit="1" customWidth="1"/>
    <col min="5" max="5" width="17.85546875" style="2" customWidth="1"/>
    <col min="6" max="7" width="9.140625" style="2"/>
    <col min="8" max="8" width="15.85546875" style="2" customWidth="1"/>
    <col min="9" max="9" width="9.140625" style="2"/>
    <col min="10" max="10" width="10.85546875" style="2" bestFit="1" customWidth="1"/>
    <col min="11" max="13" width="9.140625" style="2"/>
    <col min="14" max="14" width="11" style="2" bestFit="1" customWidth="1"/>
    <col min="15" max="16" width="9.140625" style="2"/>
    <col min="17" max="17" width="11.7109375" style="2" bestFit="1" customWidth="1"/>
    <col min="18" max="18" width="10.5703125" style="2" bestFit="1" customWidth="1"/>
    <col min="19" max="19" width="21.5703125" style="2" bestFit="1" customWidth="1"/>
    <col min="20" max="20" width="22.28515625" style="2" bestFit="1" customWidth="1"/>
    <col min="21" max="21" width="11.7109375" style="2" bestFit="1" customWidth="1"/>
    <col min="22" max="22" width="10.5703125" style="2" bestFit="1" customWidth="1"/>
    <col min="23" max="23" width="21.5703125" style="2" bestFit="1" customWidth="1"/>
    <col min="24" max="24" width="22.28515625" style="2" bestFit="1" customWidth="1"/>
    <col min="25" max="16384" width="9.140625" style="2"/>
  </cols>
  <sheetData>
    <row r="1" spans="1:20" x14ac:dyDescent="0.25">
      <c r="A1" s="7" t="s">
        <v>1</v>
      </c>
      <c r="B1" s="1">
        <f xml:space="preserve"> 67.4 * 10^3</f>
        <v>67400</v>
      </c>
      <c r="D1" s="9" t="s">
        <v>5</v>
      </c>
      <c r="E1" s="10"/>
      <c r="F1"/>
      <c r="G1" s="12" t="s">
        <v>12</v>
      </c>
      <c r="H1" s="14"/>
      <c r="J1" s="18" t="s">
        <v>14</v>
      </c>
      <c r="K1" s="18"/>
      <c r="L1" s="18"/>
      <c r="M1" s="18"/>
      <c r="N1" s="18"/>
      <c r="P1" s="12" t="s">
        <v>17</v>
      </c>
      <c r="Q1" s="13"/>
      <c r="R1" s="13"/>
      <c r="S1" s="13"/>
      <c r="T1" s="14"/>
    </row>
    <row r="2" spans="1:20" x14ac:dyDescent="0.25">
      <c r="A2" s="7" t="s">
        <v>2</v>
      </c>
      <c r="B2" s="1">
        <v>15993</v>
      </c>
      <c r="F2"/>
      <c r="G2" s="7" t="s">
        <v>29</v>
      </c>
      <c r="H2" s="8">
        <f xml:space="preserve"> 1.507 * 10^3</f>
        <v>1507</v>
      </c>
    </row>
    <row r="3" spans="1:20" x14ac:dyDescent="0.25">
      <c r="A3" s="7" t="s">
        <v>3</v>
      </c>
      <c r="B3" s="1">
        <f xml:space="preserve"> 0.985 * 10^3</f>
        <v>985</v>
      </c>
      <c r="D3" s="7" t="s">
        <v>6</v>
      </c>
      <c r="E3" s="1">
        <f xml:space="preserve"> 2.49</f>
        <v>2.4900000000000002</v>
      </c>
      <c r="F3"/>
      <c r="G3" s="7" t="s">
        <v>36</v>
      </c>
      <c r="H3" s="1">
        <f xml:space="preserve"> 756.9 * 10^-3</f>
        <v>0.75690000000000002</v>
      </c>
      <c r="J3" s="7" t="s">
        <v>31</v>
      </c>
      <c r="K3" s="1">
        <f xml:space="preserve"> 20 * 10^-3</f>
        <v>0.02</v>
      </c>
      <c r="P3" s="7" t="s">
        <v>39</v>
      </c>
      <c r="Q3" s="3">
        <f>E10/0.025</f>
        <v>9.9999999999999992E-2</v>
      </c>
    </row>
    <row r="4" spans="1:20" x14ac:dyDescent="0.25">
      <c r="A4" s="7" t="s">
        <v>4</v>
      </c>
      <c r="B4" s="1">
        <f xml:space="preserve"> 10 * 10^3</f>
        <v>10000</v>
      </c>
      <c r="F4"/>
      <c r="G4" s="7" t="s">
        <v>37</v>
      </c>
      <c r="H4" s="1">
        <f xml:space="preserve"> 14.01 * 10^-3</f>
        <v>1.401E-2</v>
      </c>
      <c r="P4" s="7" t="s">
        <v>24</v>
      </c>
      <c r="Q4" s="3">
        <f>E10/E8</f>
        <v>191.57088122605364</v>
      </c>
    </row>
    <row r="5" spans="1:20" x14ac:dyDescent="0.25">
      <c r="A5" s="7" t="s">
        <v>0</v>
      </c>
      <c r="B5" s="1">
        <f xml:space="preserve"> 10 * 10^-6</f>
        <v>9.9999999999999991E-6</v>
      </c>
      <c r="D5" s="9" t="s">
        <v>10</v>
      </c>
      <c r="E5" s="10"/>
      <c r="F5"/>
      <c r="G5" s="7" t="s">
        <v>11</v>
      </c>
      <c r="H5" s="1">
        <f xml:space="preserve"> H3 / H4</f>
        <v>54.025695931477514</v>
      </c>
      <c r="J5" s="1" t="s">
        <v>18</v>
      </c>
      <c r="K5" s="1" t="s">
        <v>19</v>
      </c>
      <c r="M5" s="1" t="s">
        <v>20</v>
      </c>
      <c r="N5" s="1" t="s">
        <v>21</v>
      </c>
      <c r="P5" s="7" t="s">
        <v>40</v>
      </c>
      <c r="Q5" s="3">
        <f>Q4/Q3</f>
        <v>1915.7088122605367</v>
      </c>
    </row>
    <row r="6" spans="1:20" x14ac:dyDescent="0.25">
      <c r="A6" s="7" t="s">
        <v>0</v>
      </c>
      <c r="B6" s="1">
        <f xml:space="preserve"> 10 * 10^-6</f>
        <v>9.9999999999999991E-6</v>
      </c>
      <c r="F6"/>
      <c r="J6" s="1">
        <f xml:space="preserve"> 4</f>
        <v>4</v>
      </c>
      <c r="K6" s="1">
        <f xml:space="preserve"> 381.8</f>
        <v>381.8</v>
      </c>
      <c r="M6" s="3">
        <f t="shared" ref="M6:M12" si="0" xml:space="preserve"> J6 / $H$2*1000</f>
        <v>2.6542800265428004</v>
      </c>
      <c r="N6" s="3">
        <f xml:space="preserve"> K6 / $B$4*1000</f>
        <v>38.18</v>
      </c>
    </row>
    <row r="7" spans="1:20" x14ac:dyDescent="0.25">
      <c r="A7" s="7" t="s">
        <v>7</v>
      </c>
      <c r="B7" s="1">
        <v>5</v>
      </c>
      <c r="D7" s="7" t="s">
        <v>33</v>
      </c>
      <c r="E7" s="1">
        <f xml:space="preserve"> 0.67</f>
        <v>0.67</v>
      </c>
      <c r="F7"/>
      <c r="G7" s="9" t="s">
        <v>13</v>
      </c>
      <c r="H7" s="10"/>
      <c r="J7" s="1">
        <f xml:space="preserve"> 6</f>
        <v>6</v>
      </c>
      <c r="K7" s="1">
        <f xml:space="preserve"> 485.9</f>
        <v>485.9</v>
      </c>
      <c r="M7" s="3">
        <f t="shared" si="0"/>
        <v>3.9814200398142008</v>
      </c>
      <c r="N7" s="3">
        <f t="shared" ref="N7:N12" si="1" xml:space="preserve"> K7 / $B$4*1000</f>
        <v>48.589999999999996</v>
      </c>
      <c r="Q7" s="1" t="s">
        <v>22</v>
      </c>
      <c r="R7" s="1" t="s">
        <v>23</v>
      </c>
      <c r="S7" s="1" t="s">
        <v>25</v>
      </c>
      <c r="T7" s="1" t="s">
        <v>26</v>
      </c>
    </row>
    <row r="8" spans="1:20" x14ac:dyDescent="0.25">
      <c r="A8" s="7" t="s">
        <v>8</v>
      </c>
      <c r="B8" s="1">
        <f xml:space="preserve"> 10 * 10^-3</f>
        <v>0.01</v>
      </c>
      <c r="D8" s="7" t="s">
        <v>32</v>
      </c>
      <c r="E8" s="1">
        <f xml:space="preserve"> 13.05 * 10^-6</f>
        <v>1.305E-5</v>
      </c>
      <c r="G8" s="7" t="s">
        <v>28</v>
      </c>
      <c r="H8" s="8">
        <f xml:space="preserve"> 0.96 * 10^3</f>
        <v>960</v>
      </c>
      <c r="J8" s="1">
        <f xml:space="preserve"> 8</f>
        <v>8</v>
      </c>
      <c r="K8" s="1">
        <f xml:space="preserve"> 643</f>
        <v>643</v>
      </c>
      <c r="M8" s="3">
        <f t="shared" si="0"/>
        <v>5.3085600530856007</v>
      </c>
      <c r="N8" s="3">
        <f t="shared" si="1"/>
        <v>64.3</v>
      </c>
      <c r="P8" s="7" t="s">
        <v>15</v>
      </c>
      <c r="Q8" s="3">
        <f>Q3*B3*B4/(B3+B4)</f>
        <v>89.667728720983149</v>
      </c>
      <c r="R8" s="3">
        <f>K14</f>
        <v>78.368367346938768</v>
      </c>
      <c r="S8" s="3">
        <f>ABS(Q8-R8)</f>
        <v>11.299361374044381</v>
      </c>
      <c r="T8" s="3">
        <f>S8/Q8*100</f>
        <v>12.601369004454572</v>
      </c>
    </row>
    <row r="9" spans="1:20" x14ac:dyDescent="0.25">
      <c r="A9" s="7" t="s">
        <v>9</v>
      </c>
      <c r="B9" s="1">
        <f>1000</f>
        <v>1000</v>
      </c>
      <c r="D9" s="7" t="s">
        <v>34</v>
      </c>
      <c r="E9" s="1">
        <f xml:space="preserve"> 2.49</f>
        <v>2.4900000000000002</v>
      </c>
      <c r="G9" s="7" t="s">
        <v>8</v>
      </c>
      <c r="H9" s="1">
        <f xml:space="preserve"> 12.6 * 10^-3</f>
        <v>1.26E-2</v>
      </c>
      <c r="J9" s="1">
        <f xml:space="preserve"> 10</f>
        <v>10</v>
      </c>
      <c r="K9" s="1">
        <f xml:space="preserve"> 763</f>
        <v>763</v>
      </c>
      <c r="M9" s="3">
        <f t="shared" si="0"/>
        <v>6.6357000663570007</v>
      </c>
      <c r="N9" s="3">
        <f t="shared" si="1"/>
        <v>76.300000000000011</v>
      </c>
      <c r="P9" s="7" t="s">
        <v>41</v>
      </c>
      <c r="Q9" s="3">
        <f>Q5*B1*B2/(B1*B2+Q5*B2+Q5*B1)</f>
        <v>1668.4347877346866</v>
      </c>
      <c r="R9" s="3">
        <f>H2</f>
        <v>1507</v>
      </c>
      <c r="S9" s="3">
        <f t="shared" ref="S9:S11" si="2">ABS(Q9-R9)</f>
        <v>161.43478773468655</v>
      </c>
      <c r="T9" s="3">
        <f t="shared" ref="T9:T11" si="3">S9/Q9*100</f>
        <v>9.6758224487679421</v>
      </c>
    </row>
    <row r="10" spans="1:20" x14ac:dyDescent="0.25">
      <c r="D10" s="7" t="s">
        <v>35</v>
      </c>
      <c r="E10" s="1">
        <f xml:space="preserve"> 2.5 * 10^-3</f>
        <v>2.5000000000000001E-3</v>
      </c>
      <c r="G10" s="7" t="s">
        <v>38</v>
      </c>
      <c r="H10" s="1">
        <v>1</v>
      </c>
      <c r="J10" s="1">
        <f>12</f>
        <v>12</v>
      </c>
      <c r="K10" s="1">
        <f>890</f>
        <v>890</v>
      </c>
      <c r="M10" s="3">
        <f t="shared" si="0"/>
        <v>7.9628400796284016</v>
      </c>
      <c r="N10" s="3">
        <f t="shared" si="1"/>
        <v>89</v>
      </c>
      <c r="P10" s="7" t="s">
        <v>42</v>
      </c>
      <c r="Q10" s="3">
        <f>B3</f>
        <v>985</v>
      </c>
      <c r="R10" s="3">
        <f>H8</f>
        <v>960</v>
      </c>
      <c r="S10" s="3">
        <f t="shared" si="2"/>
        <v>25</v>
      </c>
      <c r="T10" s="3">
        <f t="shared" si="3"/>
        <v>2.5380710659898478</v>
      </c>
    </row>
    <row r="11" spans="1:20" x14ac:dyDescent="0.25">
      <c r="G11" s="15" t="s">
        <v>30</v>
      </c>
      <c r="H11" s="16"/>
      <c r="J11" s="1">
        <f xml:space="preserve"> 14</f>
        <v>14</v>
      </c>
      <c r="K11" s="1">
        <f xml:space="preserve"> 1000</f>
        <v>1000</v>
      </c>
      <c r="M11" s="3">
        <f t="shared" si="0"/>
        <v>9.2899800928997998</v>
      </c>
      <c r="N11" s="3">
        <f t="shared" si="1"/>
        <v>100</v>
      </c>
      <c r="P11" s="7" t="s">
        <v>16</v>
      </c>
      <c r="Q11" s="3">
        <f>Q8*Q9/B4</f>
        <v>14.960475793524497</v>
      </c>
      <c r="R11" s="4">
        <f>N14</f>
        <v>11.810112959183673</v>
      </c>
      <c r="S11" s="3">
        <f t="shared" si="2"/>
        <v>3.1503628343408234</v>
      </c>
      <c r="T11" s="3">
        <f t="shared" si="3"/>
        <v>21.057905362237403</v>
      </c>
    </row>
    <row r="12" spans="1:20" x14ac:dyDescent="0.25">
      <c r="D12" s="11" t="s">
        <v>43</v>
      </c>
      <c r="E12" s="11"/>
      <c r="J12" s="1">
        <f xml:space="preserve"> 16</f>
        <v>16</v>
      </c>
      <c r="K12" s="1">
        <f xml:space="preserve"> 1118</f>
        <v>1118</v>
      </c>
      <c r="M12" s="3">
        <f t="shared" si="0"/>
        <v>10.617120106171201</v>
      </c>
      <c r="N12" s="3">
        <f t="shared" si="1"/>
        <v>111.8</v>
      </c>
    </row>
    <row r="13" spans="1:20" x14ac:dyDescent="0.25">
      <c r="D13" s="17" t="s">
        <v>27</v>
      </c>
      <c r="E13" s="17"/>
    </row>
    <row r="14" spans="1:20" x14ac:dyDescent="0.25">
      <c r="J14" s="7" t="s">
        <v>15</v>
      </c>
      <c r="K14" s="1">
        <f>(K6/J6+K7/J7+K8/J8+K9/J9+K10/J10+K11/J11+K12/J12)/7</f>
        <v>78.368367346938768</v>
      </c>
      <c r="M14" s="7" t="s">
        <v>16</v>
      </c>
      <c r="N14" s="1">
        <f>(N6/M6+N7/M7+N8/M8+N9/M9+N10/M10+N11/M11+N12/M12)/7</f>
        <v>11.810112959183673</v>
      </c>
    </row>
    <row r="24" spans="7:8" x14ac:dyDescent="0.25">
      <c r="G24"/>
      <c r="H24"/>
    </row>
    <row r="25" spans="7:8" x14ac:dyDescent="0.25">
      <c r="G25"/>
      <c r="H25"/>
    </row>
    <row r="26" spans="7:8" x14ac:dyDescent="0.25">
      <c r="G26"/>
      <c r="H26"/>
    </row>
    <row r="27" spans="7:8" x14ac:dyDescent="0.25">
      <c r="G27"/>
      <c r="H27"/>
    </row>
    <row r="28" spans="7:8" x14ac:dyDescent="0.25">
      <c r="G28"/>
      <c r="H28"/>
    </row>
    <row r="29" spans="7:8" x14ac:dyDescent="0.25">
      <c r="G29"/>
      <c r="H29"/>
    </row>
    <row r="30" spans="7:8" x14ac:dyDescent="0.25">
      <c r="G30"/>
      <c r="H30"/>
    </row>
    <row r="31" spans="7:8" x14ac:dyDescent="0.25">
      <c r="G31"/>
      <c r="H31"/>
    </row>
    <row r="32" spans="7:8" x14ac:dyDescent="0.25">
      <c r="G32"/>
      <c r="H32"/>
    </row>
    <row r="33" spans="7:8" x14ac:dyDescent="0.25">
      <c r="G33"/>
      <c r="H33"/>
    </row>
    <row r="34" spans="7:8" x14ac:dyDescent="0.25">
      <c r="G34"/>
      <c r="H34"/>
    </row>
    <row r="35" spans="7:8" x14ac:dyDescent="0.25">
      <c r="G35"/>
      <c r="H35"/>
    </row>
    <row r="37" spans="7:8" x14ac:dyDescent="0.25">
      <c r="H37" s="6"/>
    </row>
    <row r="49" spans="7:7" x14ac:dyDescent="0.25">
      <c r="G49" s="5"/>
    </row>
  </sheetData>
  <mergeCells count="9">
    <mergeCell ref="D13:E13"/>
    <mergeCell ref="G1:H1"/>
    <mergeCell ref="G7:H7"/>
    <mergeCell ref="J1:N1"/>
    <mergeCell ref="D1:E1"/>
    <mergeCell ref="D5:E5"/>
    <mergeCell ref="D12:E12"/>
    <mergeCell ref="P1:T1"/>
    <mergeCell ref="G11:H1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2018-05-17T20:18:28Z</dcterms:modified>
</cp:coreProperties>
</file>