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HOOL\CEGEP\THIRD SESSION\OUTILS DE GESTION ET DE SOUTIEN\LABS\"/>
    </mc:Choice>
  </mc:AlternateContent>
  <xr:revisionPtr revIDLastSave="0" documentId="13_ncr:1_{BA3498FC-804B-4D6B-A668-DC590F24D45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7" l="1"/>
  <c r="AD11" i="7"/>
  <c r="AH11" i="7" s="1"/>
  <c r="AD12" i="7"/>
  <c r="AD13" i="7"/>
  <c r="AH13" i="7" s="1"/>
  <c r="AD14" i="7"/>
  <c r="AD15" i="7"/>
  <c r="AD16" i="7"/>
  <c r="AD17" i="7"/>
  <c r="AH17" i="7" s="1"/>
  <c r="AD18" i="7"/>
  <c r="AD19" i="7"/>
  <c r="AD20" i="7"/>
  <c r="AD21" i="7"/>
  <c r="AH21" i="7" s="1"/>
  <c r="AD22" i="7"/>
  <c r="AD23" i="7"/>
  <c r="AD24" i="7"/>
  <c r="AD25" i="7"/>
  <c r="AD9" i="7"/>
  <c r="AH19" i="7"/>
  <c r="AH10" i="7"/>
  <c r="AH12" i="7"/>
  <c r="AH24" i="7"/>
  <c r="AH25" i="7"/>
  <c r="AH9" i="7"/>
  <c r="E25" i="7"/>
  <c r="F25" i="7" s="1"/>
  <c r="E24" i="7"/>
  <c r="F24" i="7" s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9" i="7"/>
  <c r="AH14" i="7"/>
  <c r="AH15" i="7"/>
  <c r="AH16" i="7"/>
  <c r="AH18" i="7"/>
  <c r="AH20" i="7"/>
  <c r="AH22" i="7"/>
  <c r="AH23" i="7"/>
  <c r="AF27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9" i="7"/>
  <c r="AB27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9" i="7"/>
  <c r="Z27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9" i="7"/>
  <c r="X27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9" i="7"/>
  <c r="V27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9" i="7"/>
  <c r="S27" i="7" s="1"/>
  <c r="R25" i="7"/>
  <c r="R10" i="7"/>
  <c r="R11" i="7"/>
  <c r="R27" i="7" s="1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9" i="7"/>
  <c r="O27" i="7"/>
  <c r="N27" i="7"/>
  <c r="J27" i="7"/>
  <c r="I27" i="7"/>
  <c r="AH27" i="7" l="1"/>
  <c r="AD27" i="7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<sst xmlns="http://schemas.openxmlformats.org/spreadsheetml/2006/main" count="201" uniqueCount="70">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</sst>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$&quot;"/>
    <numFmt numFmtId="165" formatCode="[$-F800]dddd\,\ mmmm\ dd\,\ yyyy"/>
    <numFmt numFmtId="166" formatCode="0.0"/>
    <numFmt numFmtId="167" formatCode="&quot;$&quot;#,##0.00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3" tint="-0.249977111117893"/>
      <name val="Bahnschrift"/>
      <family val="2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rgb="FFEFECF4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7" tint="-0.24994659260841701"/>
      </left>
      <right/>
      <top/>
      <bottom/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2" borderId="23" xfId="0" applyNumberFormat="1" applyFont="1" applyFill="1" applyBorder="1" applyAlignment="1" applyProtection="1">
      <alignment horizontal="center" vertical="center"/>
      <protection locked="0"/>
    </xf>
    <xf numFmtId="0" fontId="19" fillId="2" borderId="17" xfId="0" applyNumberFormat="1" applyFont="1" applyFill="1" applyBorder="1" applyAlignment="1" applyProtection="1">
      <alignment horizontal="center" vertical="center"/>
      <protection locked="0"/>
    </xf>
    <xf numFmtId="0" fontId="19" fillId="2" borderId="18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left" vertical="center" wrapText="1"/>
      <protection locked="0"/>
    </xf>
    <xf numFmtId="0" fontId="4" fillId="3" borderId="0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center" wrapText="1"/>
      <protection locked="0"/>
    </xf>
    <xf numFmtId="0" fontId="4" fillId="3" borderId="2" xfId="0" applyNumberFormat="1" applyFont="1" applyFill="1" applyBorder="1" applyAlignment="1" applyProtection="1">
      <alignment horizontal="left" vertical="center"/>
      <protection locked="0"/>
    </xf>
    <xf numFmtId="0" fontId="4" fillId="3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42" xfId="0" applyNumberFormat="1" applyFont="1" applyFill="1" applyBorder="1" applyAlignment="1" applyProtection="1">
      <alignment horizontal="left" vertical="center"/>
      <protection locked="0"/>
    </xf>
    <xf numFmtId="0" fontId="4" fillId="18" borderId="2" xfId="0" applyNumberFormat="1" applyFont="1" applyFill="1" applyBorder="1" applyAlignment="1" applyProtection="1">
      <alignment horizontal="left" vertical="center" wrapText="1"/>
      <protection locked="0"/>
    </xf>
    <xf numFmtId="0" fontId="4" fillId="18" borderId="0" xfId="0" applyNumberFormat="1" applyFont="1" applyFill="1" applyBorder="1" applyAlignment="1" applyProtection="1">
      <alignment horizontal="center" vertical="center" wrapText="1"/>
      <protection locked="0"/>
    </xf>
    <xf numFmtId="165" fontId="4" fillId="18" borderId="3" xfId="0" applyNumberFormat="1" applyFont="1" applyFill="1" applyBorder="1" applyAlignment="1" applyProtection="1">
      <alignment horizontal="left" vertical="center" wrapText="1"/>
      <protection locked="0"/>
    </xf>
    <xf numFmtId="0" fontId="4" fillId="18" borderId="2" xfId="0" applyNumberFormat="1" applyFont="1" applyFill="1" applyBorder="1" applyAlignment="1" applyProtection="1">
      <alignment horizontal="left" vertical="center"/>
      <protection locked="0"/>
    </xf>
    <xf numFmtId="0" fontId="4" fillId="18" borderId="0" xfId="0" applyNumberFormat="1" applyFont="1" applyFill="1" applyBorder="1" applyAlignment="1" applyProtection="1">
      <alignment horizontal="center" vertical="center"/>
      <protection locked="0"/>
    </xf>
    <xf numFmtId="0" fontId="19" fillId="14" borderId="36" xfId="0" applyNumberFormat="1" applyFont="1" applyFill="1" applyBorder="1" applyAlignment="1" applyProtection="1">
      <alignment horizontal="center" vertical="center"/>
      <protection locked="0"/>
    </xf>
    <xf numFmtId="0" fontId="19" fillId="14" borderId="37" xfId="0" applyNumberFormat="1" applyFont="1" applyFill="1" applyBorder="1" applyAlignment="1" applyProtection="1">
      <alignment horizontal="center" vertical="center"/>
      <protection locked="0"/>
    </xf>
    <xf numFmtId="165" fontId="4" fillId="0" borderId="0" xfId="0" applyNumberFormat="1" applyFont="1" applyFill="1" applyBorder="1" applyAlignment="1" applyProtection="1">
      <alignment horizontal="left" vertical="center"/>
      <protection locked="0"/>
    </xf>
    <xf numFmtId="14" fontId="4" fillId="0" borderId="0" xfId="0" applyNumberFormat="1" applyFont="1" applyFill="1" applyBorder="1" applyAlignment="1" applyProtection="1">
      <alignment horizontal="left" vertical="center"/>
      <protection locked="0"/>
    </xf>
    <xf numFmtId="1" fontId="4" fillId="15" borderId="34" xfId="0" applyNumberFormat="1" applyFont="1" applyFill="1" applyBorder="1" applyAlignment="1" applyProtection="1">
      <alignment horizontal="center" vertical="center"/>
      <protection locked="0"/>
    </xf>
    <xf numFmtId="1" fontId="4" fillId="15" borderId="35" xfId="0" applyNumberFormat="1" applyFont="1" applyFill="1" applyBorder="1" applyAlignment="1" applyProtection="1">
      <alignment horizontal="center" vertical="center"/>
      <protection locked="0"/>
    </xf>
    <xf numFmtId="0" fontId="4" fillId="15" borderId="32" xfId="0" applyNumberFormat="1" applyFont="1" applyFill="1" applyBorder="1" applyAlignment="1" applyProtection="1">
      <alignment horizontal="center" vertical="center"/>
      <protection locked="0"/>
    </xf>
    <xf numFmtId="1" fontId="4" fillId="12" borderId="34" xfId="0" applyNumberFormat="1" applyFont="1" applyFill="1" applyBorder="1" applyAlignment="1" applyProtection="1">
      <alignment horizontal="center" vertical="center"/>
      <protection locked="0"/>
    </xf>
    <xf numFmtId="1" fontId="4" fillId="12" borderId="35" xfId="0" applyNumberFormat="1" applyFont="1" applyFill="1" applyBorder="1" applyAlignment="1" applyProtection="1">
      <alignment horizontal="center" vertical="center"/>
      <protection locked="0"/>
    </xf>
    <xf numFmtId="0" fontId="4" fillId="12" borderId="32" xfId="0" applyNumberFormat="1" applyFont="1" applyFill="1" applyBorder="1" applyAlignment="1" applyProtection="1">
      <alignment horizontal="center" vertical="center"/>
      <protection locked="0"/>
    </xf>
    <xf numFmtId="0" fontId="19" fillId="7" borderId="29" xfId="0" applyNumberFormat="1" applyFont="1" applyFill="1" applyBorder="1" applyAlignment="1" applyProtection="1">
      <alignment horizontal="center" vertical="center"/>
      <protection locked="0"/>
    </xf>
    <xf numFmtId="0" fontId="19" fillId="7" borderId="3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21" fillId="0" borderId="42" xfId="0" applyNumberFormat="1" applyFont="1" applyFill="1" applyBorder="1" applyAlignment="1" applyProtection="1">
      <alignment horizontal="left" vertical="top"/>
      <protection locked="0"/>
    </xf>
    <xf numFmtId="167" fontId="4" fillId="19" borderId="0" xfId="0" applyNumberFormat="1" applyFont="1" applyFill="1" applyBorder="1" applyAlignment="1" applyProtection="1">
      <alignment horizontal="left" vertical="center"/>
      <protection locked="0"/>
    </xf>
    <xf numFmtId="0" fontId="23" fillId="0" borderId="0" xfId="0" applyNumberFormat="1" applyFont="1" applyFill="1" applyBorder="1" applyAlignment="1" applyProtection="1">
      <alignment horizontal="left" vertical="center"/>
      <protection locked="0"/>
    </xf>
    <xf numFmtId="0" fontId="23" fillId="19" borderId="7" xfId="0" applyNumberFormat="1" applyFont="1" applyFill="1" applyBorder="1" applyAlignment="1" applyProtection="1">
      <alignment horizontal="center" vertical="center"/>
      <protection locked="0"/>
    </xf>
    <xf numFmtId="0" fontId="23" fillId="6" borderId="7" xfId="0" applyNumberFormat="1" applyFont="1" applyFill="1" applyBorder="1" applyAlignment="1" applyProtection="1">
      <alignment horizontal="center" vertical="center"/>
      <protection locked="0"/>
    </xf>
    <xf numFmtId="0" fontId="23" fillId="19" borderId="0" xfId="0" applyNumberFormat="1" applyFont="1" applyFill="1" applyBorder="1" applyAlignment="1" applyProtection="1">
      <alignment horizontal="center" vertical="center"/>
      <protection locked="0"/>
    </xf>
    <xf numFmtId="0" fontId="23" fillId="6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20" fillId="7" borderId="45" xfId="0" applyNumberFormat="1" applyFont="1" applyFill="1" applyBorder="1" applyAlignment="1" applyProtection="1">
      <alignment horizontal="center" vertical="center"/>
      <protection locked="0"/>
    </xf>
    <xf numFmtId="0" fontId="20" fillId="7" borderId="46" xfId="0" applyNumberFormat="1" applyFont="1" applyFill="1" applyBorder="1" applyAlignment="1" applyProtection="1">
      <alignment horizontal="center" vertical="center"/>
      <protection locked="0"/>
    </xf>
    <xf numFmtId="0" fontId="20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20" fillId="7" borderId="28" xfId="0" applyNumberFormat="1" applyFont="1" applyFill="1" applyBorder="1" applyAlignment="1" applyProtection="1">
      <alignment horizontal="center" vertical="center" wrapText="1"/>
      <protection locked="0"/>
    </xf>
    <xf numFmtId="0" fontId="20" fillId="7" borderId="0" xfId="0" applyNumberFormat="1" applyFont="1" applyFill="1" applyBorder="1" applyAlignment="1" applyProtection="1">
      <alignment horizontal="center" vertical="center"/>
      <protection locked="0"/>
    </xf>
    <xf numFmtId="0" fontId="20" fillId="14" borderId="32" xfId="0" applyNumberFormat="1" applyFont="1" applyFill="1" applyBorder="1" applyAlignment="1" applyProtection="1">
      <alignment horizontal="center" vertical="center" wrapText="1"/>
      <protection locked="0"/>
    </xf>
    <xf numFmtId="0" fontId="20" fillId="14" borderId="33" xfId="0" applyNumberFormat="1" applyFont="1" applyFill="1" applyBorder="1" applyAlignment="1" applyProtection="1">
      <alignment horizontal="center" vertical="center" wrapText="1"/>
      <protection locked="0"/>
    </xf>
    <xf numFmtId="0" fontId="20" fillId="14" borderId="43" xfId="0" applyNumberFormat="1" applyFont="1" applyFill="1" applyBorder="1" applyAlignment="1" applyProtection="1">
      <alignment horizontal="center" vertical="center"/>
      <protection locked="0"/>
    </xf>
    <xf numFmtId="0" fontId="20" fillId="14" borderId="0" xfId="0" applyNumberFormat="1" applyFont="1" applyFill="1" applyBorder="1" applyAlignment="1" applyProtection="1">
      <alignment horizontal="center" vertical="center"/>
      <protection locked="0"/>
    </xf>
    <xf numFmtId="0" fontId="20" fillId="14" borderId="44" xfId="0" applyNumberFormat="1" applyFont="1" applyFill="1" applyBorder="1" applyAlignment="1" applyProtection="1">
      <alignment horizontal="center" vertical="center"/>
      <protection locked="0"/>
    </xf>
    <xf numFmtId="0" fontId="11" fillId="4" borderId="0" xfId="0" applyNumberFormat="1" applyFont="1" applyFill="1" applyBorder="1" applyAlignment="1" applyProtection="1">
      <alignment horizontal="center" vertical="center"/>
      <protection locked="0"/>
    </xf>
    <xf numFmtId="0" fontId="11" fillId="16" borderId="0" xfId="0" applyNumberFormat="1" applyFont="1" applyFill="1" applyBorder="1" applyAlignment="1" applyProtection="1">
      <alignment horizontal="center" vertical="center"/>
      <protection locked="0"/>
    </xf>
    <xf numFmtId="0" fontId="11" fillId="17" borderId="0" xfId="0" applyNumberFormat="1" applyFont="1" applyFill="1" applyBorder="1" applyAlignment="1" applyProtection="1">
      <alignment horizontal="right" vertical="center"/>
      <protection locked="0"/>
    </xf>
    <xf numFmtId="0" fontId="20" fillId="2" borderId="2" xfId="0" applyNumberFormat="1" applyFont="1" applyFill="1" applyBorder="1" applyAlignment="1" applyProtection="1">
      <alignment horizontal="center" vertical="center"/>
      <protection locked="0"/>
    </xf>
    <xf numFmtId="0" fontId="20" fillId="2" borderId="14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NumberFormat="1" applyFont="1" applyFill="1" applyBorder="1" applyAlignment="1" applyProtection="1">
      <alignment horizontal="center" vertical="center"/>
      <protection locked="0"/>
    </xf>
    <xf numFmtId="0" fontId="20" fillId="2" borderId="41" xfId="0" applyNumberFormat="1" applyFont="1" applyFill="1" applyBorder="1" applyAlignment="1" applyProtection="1">
      <alignment horizontal="center" vertical="center"/>
      <protection locked="0"/>
    </xf>
    <xf numFmtId="0" fontId="20" fillId="2" borderId="3" xfId="0" applyNumberFormat="1" applyFont="1" applyFill="1" applyBorder="1" applyAlignment="1" applyProtection="1">
      <alignment horizontal="center" vertical="center"/>
      <protection locked="0"/>
    </xf>
    <xf numFmtId="0" fontId="20" fillId="2" borderId="23" xfId="0" applyNumberFormat="1" applyFont="1" applyFill="1" applyBorder="1" applyAlignment="1" applyProtection="1">
      <alignment horizontal="center" vertical="center"/>
      <protection locked="0"/>
    </xf>
    <xf numFmtId="0" fontId="20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13" xfId="0" applyNumberFormat="1" applyFont="1" applyFill="1" applyBorder="1" applyAlignment="1" applyProtection="1">
      <alignment horizontal="center" vertical="center"/>
      <protection locked="0"/>
    </xf>
    <xf numFmtId="0" fontId="20" fillId="2" borderId="15" xfId="0" applyNumberFormat="1" applyFont="1" applyFill="1" applyBorder="1" applyAlignment="1" applyProtection="1">
      <alignment horizontal="center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166" fontId="23" fillId="18" borderId="25" xfId="0" applyNumberFormat="1" applyFont="1" applyFill="1" applyBorder="1" applyAlignment="1" applyProtection="1">
      <alignment horizontal="center" vertical="center"/>
      <protection locked="0"/>
    </xf>
    <xf numFmtId="166" fontId="23" fillId="3" borderId="25" xfId="0" applyNumberFormat="1" applyFont="1" applyFill="1" applyBorder="1" applyAlignment="1" applyProtection="1">
      <alignment horizontal="center" vertical="center"/>
      <protection locked="0"/>
    </xf>
    <xf numFmtId="0" fontId="23" fillId="18" borderId="4" xfId="0" applyNumberFormat="1" applyFont="1" applyFill="1" applyBorder="1" applyAlignment="1" applyProtection="1">
      <alignment horizontal="center" vertical="center"/>
      <protection locked="0"/>
    </xf>
    <xf numFmtId="0" fontId="23" fillId="3" borderId="4" xfId="0" applyNumberFormat="1" applyFont="1" applyFill="1" applyBorder="1" applyAlignment="1" applyProtection="1">
      <alignment horizontal="center" vertical="center"/>
      <protection locked="0"/>
    </xf>
    <xf numFmtId="0" fontId="23" fillId="8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12" xfId="0" applyNumberFormat="1" applyFont="1" applyFill="1" applyBorder="1" applyAlignment="1" applyProtection="1">
      <alignment horizontal="center" vertical="center"/>
      <protection locked="0"/>
    </xf>
    <xf numFmtId="164" fontId="4" fillId="18" borderId="3" xfId="0" applyNumberFormat="1" applyFont="1" applyFill="1" applyBorder="1" applyAlignment="1" applyProtection="1">
      <alignment horizontal="right" vertical="center"/>
      <protection locked="0"/>
    </xf>
    <xf numFmtId="164" fontId="4" fillId="3" borderId="3" xfId="0" applyNumberFormat="1" applyFont="1" applyFill="1" applyBorder="1" applyAlignment="1" applyProtection="1">
      <alignment horizontal="right" vertical="center"/>
      <protection locked="0"/>
    </xf>
    <xf numFmtId="164" fontId="4" fillId="18" borderId="4" xfId="0" applyNumberFormat="1" applyFont="1" applyFill="1" applyBorder="1" applyAlignment="1" applyProtection="1">
      <alignment horizontal="right" vertical="center"/>
      <protection locked="0"/>
    </xf>
    <xf numFmtId="164" fontId="4" fillId="3" borderId="4" xfId="0" applyNumberFormat="1" applyFont="1" applyFill="1" applyBorder="1" applyAlignment="1" applyProtection="1">
      <alignment horizontal="right" vertical="center"/>
      <protection locked="0"/>
    </xf>
    <xf numFmtId="164" fontId="4" fillId="18" borderId="5" xfId="0" applyNumberFormat="1" applyFont="1" applyFill="1" applyBorder="1" applyAlignment="1" applyProtection="1">
      <alignment horizontal="right" vertical="center"/>
      <protection locked="0"/>
    </xf>
    <xf numFmtId="164" fontId="4" fillId="3" borderId="5" xfId="0" applyNumberFormat="1" applyFont="1" applyFill="1" applyBorder="1" applyAlignment="1" applyProtection="1">
      <alignment horizontal="right" vertical="center"/>
      <protection locked="0"/>
    </xf>
    <xf numFmtId="164" fontId="15" fillId="18" borderId="47" xfId="0" applyNumberFormat="1" applyFont="1" applyFill="1" applyBorder="1" applyAlignment="1" applyProtection="1">
      <alignment horizontal="right" vertical="center"/>
      <protection locked="0"/>
    </xf>
    <xf numFmtId="164" fontId="15" fillId="18" borderId="48" xfId="0" applyNumberFormat="1" applyFont="1" applyFill="1" applyBorder="1" applyAlignment="1" applyProtection="1">
      <alignment horizontal="right" vertical="center"/>
      <protection locked="0"/>
    </xf>
    <xf numFmtId="164" fontId="4" fillId="15" borderId="34" xfId="0" applyNumberFormat="1" applyFont="1" applyFill="1" applyBorder="1" applyAlignment="1" applyProtection="1">
      <alignment horizontal="right" vertical="center"/>
      <protection locked="0"/>
    </xf>
    <xf numFmtId="164" fontId="4" fillId="12" borderId="34" xfId="0" applyNumberFormat="1" applyFont="1" applyFill="1" applyBorder="1" applyAlignment="1" applyProtection="1">
      <alignment horizontal="right" vertical="center"/>
      <protection locked="0"/>
    </xf>
    <xf numFmtId="164" fontId="4" fillId="15" borderId="35" xfId="0" applyNumberFormat="1" applyFont="1" applyFill="1" applyBorder="1" applyAlignment="1" applyProtection="1">
      <alignment horizontal="right" vertical="center"/>
      <protection locked="0"/>
    </xf>
    <xf numFmtId="164" fontId="4" fillId="12" borderId="35" xfId="0" applyNumberFormat="1" applyFont="1" applyFill="1" applyBorder="1" applyAlignment="1" applyProtection="1">
      <alignment horizontal="right" vertical="center"/>
      <protection locked="0"/>
    </xf>
    <xf numFmtId="164" fontId="15" fillId="15" borderId="34" xfId="0" applyNumberFormat="1" applyFont="1" applyFill="1" applyBorder="1" applyAlignment="1" applyProtection="1">
      <alignment horizontal="right" vertical="center"/>
      <protection locked="0"/>
    </xf>
    <xf numFmtId="164" fontId="15" fillId="15" borderId="35" xfId="0" applyNumberFormat="1" applyFont="1" applyFill="1" applyBorder="1" applyAlignment="1" applyProtection="1">
      <alignment horizontal="right" vertical="center"/>
      <protection locked="0"/>
    </xf>
    <xf numFmtId="164" fontId="23" fillId="19" borderId="7" xfId="0" applyNumberFormat="1" applyFont="1" applyFill="1" applyBorder="1" applyAlignment="1" applyProtection="1">
      <alignment horizontal="right" vertical="center"/>
      <protection locked="0"/>
    </xf>
    <xf numFmtId="164" fontId="23" fillId="6" borderId="7" xfId="0" applyNumberFormat="1" applyFont="1" applyFill="1" applyBorder="1" applyAlignment="1" applyProtection="1">
      <alignment horizontal="right" vertical="center"/>
      <protection locked="0"/>
    </xf>
    <xf numFmtId="164" fontId="22" fillId="19" borderId="7" xfId="0" applyNumberFormat="1" applyFont="1" applyFill="1" applyBorder="1" applyAlignment="1" applyProtection="1">
      <alignment horizontal="right" vertical="center"/>
      <protection locked="0"/>
    </xf>
    <xf numFmtId="164" fontId="22" fillId="19" borderId="8" xfId="0" applyNumberFormat="1" applyFont="1" applyFill="1" applyBorder="1" applyAlignment="1" applyProtection="1">
      <alignment horizontal="right" vertical="center"/>
      <protection locked="0"/>
    </xf>
    <xf numFmtId="164" fontId="23" fillId="19" borderId="8" xfId="0" applyNumberFormat="1" applyFont="1" applyFill="1" applyBorder="1" applyAlignment="1" applyProtection="1">
      <alignment horizontal="right" vertical="center"/>
      <protection locked="0"/>
    </xf>
    <xf numFmtId="164" fontId="23" fillId="6" borderId="8" xfId="0" applyNumberFormat="1" applyFont="1" applyFill="1" applyBorder="1" applyAlignment="1" applyProtection="1">
      <alignment horizontal="right" vertical="center"/>
      <protection locked="0"/>
    </xf>
    <xf numFmtId="164" fontId="23" fillId="19" borderId="6" xfId="0" applyNumberFormat="1" applyFont="1" applyFill="1" applyBorder="1" applyAlignment="1" applyProtection="1">
      <alignment horizontal="right" vertical="center"/>
      <protection locked="0"/>
    </xf>
    <xf numFmtId="164" fontId="23" fillId="6" borderId="6" xfId="0" applyNumberFormat="1" applyFont="1" applyFill="1" applyBorder="1" applyAlignment="1" applyProtection="1">
      <alignment horizontal="right" vertical="center"/>
      <protection locked="0"/>
    </xf>
    <xf numFmtId="164" fontId="22" fillId="19" borderId="6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EAF0F6"/>
      <color rgb="FFEFECF4"/>
      <color rgb="FFEBE7F1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U1" workbookViewId="0">
      <selection activeCell="AK29" sqref="AK29"/>
    </sheetView>
  </sheetViews>
  <sheetFormatPr defaultColWidth="11.5" defaultRowHeight="11.25" x14ac:dyDescent="0.2"/>
  <cols>
    <col min="1" max="1" width="1.5" style="1" customWidth="1"/>
    <col min="2" max="2" width="25.5" style="1" customWidth="1"/>
    <col min="3" max="3" width="6.5" style="9" customWidth="1"/>
    <col min="4" max="4" width="16.83203125" style="9" customWidth="1"/>
    <col min="5" max="6" width="11.5" style="1"/>
    <col min="7" max="8" width="11.5" style="1" customWidth="1"/>
    <col min="9" max="10" width="14.33203125" style="1" customWidth="1"/>
    <col min="11" max="11" width="1.5" style="2" customWidth="1"/>
    <col min="12" max="13" width="11.5" style="1" customWidth="1"/>
    <col min="14" max="15" width="14.33203125" style="1" customWidth="1"/>
    <col min="16" max="16" width="11.5" style="1" customWidth="1"/>
    <col min="17" max="17" width="1.5" style="15" customWidth="1"/>
    <col min="18" max="19" width="14.332031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28" t="s">
        <v>14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29" t="s">
        <v>10</v>
      </c>
      <c r="C5" s="129"/>
      <c r="D5" s="129"/>
      <c r="E5" s="129"/>
      <c r="F5" s="129"/>
      <c r="G5" s="129"/>
      <c r="H5" s="129"/>
      <c r="I5" s="129"/>
      <c r="J5" s="129"/>
      <c r="L5" s="130" t="s">
        <v>36</v>
      </c>
      <c r="M5" s="130"/>
      <c r="N5" s="130"/>
      <c r="O5" s="130"/>
      <c r="P5" s="130"/>
      <c r="R5" s="134" t="s">
        <v>11</v>
      </c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</row>
    <row r="6" spans="2:34" ht="3" customHeight="1" x14ac:dyDescent="0.2"/>
    <row r="7" spans="2:34" ht="10.15" customHeight="1" x14ac:dyDescent="0.2">
      <c r="B7" s="151" t="s">
        <v>1</v>
      </c>
      <c r="C7" s="143" t="s">
        <v>32</v>
      </c>
      <c r="D7" s="145" t="s">
        <v>35</v>
      </c>
      <c r="E7" s="135" t="s">
        <v>6</v>
      </c>
      <c r="F7" s="147" t="s">
        <v>37</v>
      </c>
      <c r="G7" s="137" t="s">
        <v>7</v>
      </c>
      <c r="H7" s="138"/>
      <c r="I7" s="149" t="s">
        <v>48</v>
      </c>
      <c r="J7" s="150"/>
      <c r="K7" s="4"/>
      <c r="L7" s="139" t="s">
        <v>2</v>
      </c>
      <c r="M7" s="140"/>
      <c r="N7" s="139" t="s">
        <v>0</v>
      </c>
      <c r="O7" s="140"/>
      <c r="P7" s="153" t="s">
        <v>42</v>
      </c>
      <c r="Q7" s="17"/>
      <c r="R7" s="141" t="s">
        <v>5</v>
      </c>
      <c r="S7" s="142"/>
      <c r="T7" s="13"/>
      <c r="U7" s="141" t="s">
        <v>38</v>
      </c>
      <c r="V7" s="142"/>
      <c r="W7" s="141" t="s">
        <v>41</v>
      </c>
      <c r="X7" s="142"/>
      <c r="Y7" s="141" t="s">
        <v>43</v>
      </c>
      <c r="Z7" s="142"/>
      <c r="AA7" s="141" t="s">
        <v>44</v>
      </c>
      <c r="AB7" s="142"/>
      <c r="AC7" s="141" t="s">
        <v>45</v>
      </c>
      <c r="AD7" s="142"/>
      <c r="AE7" s="141" t="s">
        <v>46</v>
      </c>
      <c r="AF7" s="142"/>
      <c r="AG7" s="13"/>
      <c r="AH7" s="155" t="s">
        <v>50</v>
      </c>
    </row>
    <row r="8" spans="2:34" ht="10.15" customHeight="1" thickBot="1" x14ac:dyDescent="0.25">
      <c r="B8" s="152"/>
      <c r="C8" s="144"/>
      <c r="D8" s="146"/>
      <c r="E8" s="136"/>
      <c r="F8" s="148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54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56"/>
    </row>
    <row r="9" spans="2:34" ht="10.1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31" t="s">
        <v>12</v>
      </c>
      <c r="C29" s="132"/>
      <c r="D29" s="133"/>
      <c r="E29" s="131" t="s">
        <v>49</v>
      </c>
      <c r="F29" s="133"/>
      <c r="G29" s="131" t="s">
        <v>12</v>
      </c>
      <c r="H29" s="132"/>
      <c r="I29" s="132"/>
      <c r="J29" s="132"/>
      <c r="K29" s="132"/>
      <c r="L29" s="132"/>
      <c r="M29" s="132"/>
      <c r="N29" s="132"/>
      <c r="O29" s="132"/>
      <c r="P29" s="133"/>
      <c r="R29" s="131" t="s">
        <v>13</v>
      </c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3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35"/>
  <sheetViews>
    <sheetView showGridLines="0" tabSelected="1" topLeftCell="O1" workbookViewId="0">
      <selection activeCell="Y12" sqref="Y12"/>
    </sheetView>
  </sheetViews>
  <sheetFormatPr defaultColWidth="10.6640625" defaultRowHeight="11.25" x14ac:dyDescent="0.2"/>
  <cols>
    <col min="1" max="1" width="1.83203125" style="92" customWidth="1"/>
    <col min="2" max="2" width="25.1640625" style="92" customWidth="1"/>
    <col min="3" max="3" width="7" style="92" customWidth="1"/>
    <col min="4" max="4" width="17.6640625" style="92" customWidth="1"/>
    <col min="5" max="5" width="11.83203125" style="92" customWidth="1"/>
    <col min="6" max="6" width="12.1640625" style="92" customWidth="1"/>
    <col min="7" max="8" width="11.83203125" style="92" customWidth="1"/>
    <col min="9" max="9" width="14.1640625" style="92" customWidth="1"/>
    <col min="10" max="10" width="14.6640625" style="92" customWidth="1"/>
    <col min="11" max="11" width="1.83203125" style="92" customWidth="1"/>
    <col min="12" max="13" width="12.5" style="92" customWidth="1"/>
    <col min="14" max="15" width="15.83203125" style="92" customWidth="1"/>
    <col min="16" max="16" width="12.1640625" style="92" customWidth="1"/>
    <col min="17" max="17" width="1.83203125" style="92" customWidth="1"/>
    <col min="18" max="19" width="13.33203125" style="92" customWidth="1"/>
    <col min="20" max="20" width="1" style="92" customWidth="1"/>
    <col min="21" max="32" width="10.6640625" style="92"/>
    <col min="33" max="33" width="1" style="92" customWidth="1"/>
    <col min="34" max="34" width="17.5" style="92" customWidth="1"/>
    <col min="35" max="16384" width="10.6640625" style="92"/>
  </cols>
  <sheetData>
    <row r="1" spans="2:34" ht="5.0999999999999996" customHeight="1" x14ac:dyDescent="0.2"/>
    <row r="2" spans="2:34" ht="20.100000000000001" customHeight="1" thickBot="1" x14ac:dyDescent="0.25">
      <c r="B2" s="121" t="s">
        <v>14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2:34" ht="12" customHeight="1" thickTop="1" x14ac:dyDescent="0.2">
      <c r="B3" s="120" t="s">
        <v>47</v>
      </c>
    </row>
    <row r="4" spans="2:34" ht="30" customHeight="1" x14ac:dyDescent="0.2"/>
    <row r="5" spans="2:34" ht="12.95" customHeight="1" x14ac:dyDescent="0.2">
      <c r="B5" s="167" t="s">
        <v>10</v>
      </c>
      <c r="C5" s="167"/>
      <c r="D5" s="167"/>
      <c r="E5" s="167"/>
      <c r="F5" s="167"/>
      <c r="G5" s="167"/>
      <c r="H5" s="167"/>
      <c r="I5" s="167"/>
      <c r="J5" s="167"/>
      <c r="L5" s="168" t="s">
        <v>36</v>
      </c>
      <c r="M5" s="168"/>
      <c r="N5" s="168"/>
      <c r="O5" s="168"/>
      <c r="P5" s="168"/>
      <c r="R5" s="169" t="s">
        <v>11</v>
      </c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</row>
    <row r="6" spans="2:34" ht="3" customHeight="1" x14ac:dyDescent="0.2"/>
    <row r="7" spans="2:34" ht="10.15" customHeight="1" x14ac:dyDescent="0.2">
      <c r="B7" s="170" t="s">
        <v>1</v>
      </c>
      <c r="C7" s="172" t="s">
        <v>32</v>
      </c>
      <c r="D7" s="174" t="s">
        <v>35</v>
      </c>
      <c r="E7" s="176" t="s">
        <v>6</v>
      </c>
      <c r="F7" s="178" t="s">
        <v>37</v>
      </c>
      <c r="G7" s="180" t="s">
        <v>7</v>
      </c>
      <c r="H7" s="181"/>
      <c r="I7" s="172" t="s">
        <v>48</v>
      </c>
      <c r="J7" s="181"/>
      <c r="L7" s="164" t="s">
        <v>2</v>
      </c>
      <c r="M7" s="166"/>
      <c r="N7" s="164" t="s">
        <v>0</v>
      </c>
      <c r="O7" s="165"/>
      <c r="P7" s="162" t="s">
        <v>42</v>
      </c>
      <c r="R7" s="157" t="s">
        <v>5</v>
      </c>
      <c r="S7" s="158"/>
      <c r="U7" s="157" t="s">
        <v>38</v>
      </c>
      <c r="V7" s="158"/>
      <c r="W7" s="161" t="s">
        <v>41</v>
      </c>
      <c r="X7" s="161"/>
      <c r="Y7" s="157" t="s">
        <v>43</v>
      </c>
      <c r="Z7" s="158"/>
      <c r="AA7" s="161" t="s">
        <v>44</v>
      </c>
      <c r="AB7" s="161"/>
      <c r="AC7" s="157" t="s">
        <v>45</v>
      </c>
      <c r="AD7" s="158"/>
      <c r="AE7" s="157" t="s">
        <v>46</v>
      </c>
      <c r="AF7" s="158"/>
      <c r="AH7" s="159" t="s">
        <v>50</v>
      </c>
    </row>
    <row r="8" spans="2:34" ht="12" customHeight="1" thickBot="1" x14ac:dyDescent="0.25">
      <c r="B8" s="171"/>
      <c r="C8" s="173"/>
      <c r="D8" s="175"/>
      <c r="E8" s="177"/>
      <c r="F8" s="179"/>
      <c r="G8" s="94" t="s">
        <v>9</v>
      </c>
      <c r="H8" s="96" t="s">
        <v>8</v>
      </c>
      <c r="I8" s="95" t="s">
        <v>3</v>
      </c>
      <c r="J8" s="96" t="s">
        <v>4</v>
      </c>
      <c r="L8" s="108" t="s">
        <v>9</v>
      </c>
      <c r="M8" s="109" t="s">
        <v>8</v>
      </c>
      <c r="N8" s="108" t="s">
        <v>3</v>
      </c>
      <c r="O8" s="109" t="s">
        <v>4</v>
      </c>
      <c r="P8" s="163"/>
      <c r="R8" s="118" t="s">
        <v>9</v>
      </c>
      <c r="S8" s="119" t="s">
        <v>8</v>
      </c>
      <c r="T8" s="93"/>
      <c r="U8" s="118" t="s">
        <v>39</v>
      </c>
      <c r="V8" s="119" t="s">
        <v>40</v>
      </c>
      <c r="W8" s="118" t="s">
        <v>39</v>
      </c>
      <c r="X8" s="119" t="s">
        <v>40</v>
      </c>
      <c r="Y8" s="118" t="s">
        <v>39</v>
      </c>
      <c r="Z8" s="119" t="s">
        <v>40</v>
      </c>
      <c r="AA8" s="118" t="s">
        <v>39</v>
      </c>
      <c r="AB8" s="119" t="s">
        <v>40</v>
      </c>
      <c r="AC8" s="118" t="s">
        <v>39</v>
      </c>
      <c r="AD8" s="119" t="s">
        <v>40</v>
      </c>
      <c r="AE8" s="118" t="s">
        <v>39</v>
      </c>
      <c r="AF8" s="119" t="s">
        <v>40</v>
      </c>
      <c r="AH8" s="160"/>
    </row>
    <row r="9" spans="2:34" ht="10.15" customHeight="1" x14ac:dyDescent="0.2">
      <c r="B9" s="103" t="s">
        <v>15</v>
      </c>
      <c r="C9" s="104" t="s">
        <v>33</v>
      </c>
      <c r="D9" s="105">
        <v>38226</v>
      </c>
      <c r="E9" s="186">
        <f>ROUNDUP(YEARFRAC(D9,$D$31,0),2)</f>
        <v>8.35</v>
      </c>
      <c r="F9" s="188">
        <f>IF(E9&gt;5,FLOOR(E9, 5)/5+2, 2)</f>
        <v>3</v>
      </c>
      <c r="G9" s="194">
        <v>21.68</v>
      </c>
      <c r="H9" s="196">
        <v>32.520000000000003</v>
      </c>
      <c r="I9" s="198">
        <v>86639.77</v>
      </c>
      <c r="J9" s="196">
        <v>138605.66</v>
      </c>
      <c r="K9" s="93"/>
      <c r="L9" s="112">
        <v>1837.5</v>
      </c>
      <c r="M9" s="113">
        <v>12.7</v>
      </c>
      <c r="N9" s="202">
        <v>87225.33</v>
      </c>
      <c r="O9" s="204">
        <v>113521.61</v>
      </c>
      <c r="P9" s="114">
        <v>6</v>
      </c>
      <c r="R9" s="208">
        <f>G9*L9</f>
        <v>39837</v>
      </c>
      <c r="S9" s="212">
        <f>H9*M9</f>
        <v>413.00400000000002</v>
      </c>
      <c r="T9" s="123"/>
      <c r="U9" s="124" t="s">
        <v>69</v>
      </c>
      <c r="V9" s="212">
        <f>(N9*0.01)+(O9*0.015)</f>
        <v>2575.0774499999998</v>
      </c>
      <c r="W9" s="124" t="str">
        <f>IF('Données brutes'!N9&gt;='Données brutes'!I9, "Oui", "Non")</f>
        <v>Oui</v>
      </c>
      <c r="X9" s="212">
        <f>IF(W9="Oui",(N9-I9) * 0.1,0)</f>
        <v>58.55599999999977</v>
      </c>
      <c r="Y9" s="124" t="str">
        <f>IF(O9&gt;=J9, "Oui", "Non")</f>
        <v>Non</v>
      </c>
      <c r="Z9" s="212">
        <f>IF(Y9="Oui",(O9-J9) * 0.15, 0)</f>
        <v>0</v>
      </c>
      <c r="AA9" s="124" t="str">
        <f>IF(P9&gt;=6, "Oui", "Non")</f>
        <v>Oui</v>
      </c>
      <c r="AB9" s="212">
        <f>IF(AA9="Oui",(N9+O9) * 0.0025, 0)</f>
        <v>501.86735000000004</v>
      </c>
      <c r="AC9" s="124" t="str">
        <f>IF(AND(W9="Oui",Y9="Oui"), "Oui", "Non")</f>
        <v>Non</v>
      </c>
      <c r="AD9" s="212">
        <f>IF(AC9="Oui",((N9-I9)+(O9-J9)) * (P9 / 100), 0)</f>
        <v>0</v>
      </c>
      <c r="AE9" s="126" t="str">
        <f>IF(AND(AA9="Oui", OR(W9="Oui",Y9="Oui")), "Oui", "Non")</f>
        <v>Oui</v>
      </c>
      <c r="AF9" s="212">
        <f>IF(AE9="Oui", (N9+O9) / ($N$27+$O$27) * 15000, 0)</f>
        <v>737.56375982265286</v>
      </c>
      <c r="AG9" s="123"/>
      <c r="AH9" s="214">
        <f>SUM(R9,S9,V9,X9,Z9,AB9,AD9,AF9)</f>
        <v>44123.068559822648</v>
      </c>
    </row>
    <row r="10" spans="2:34" ht="10.15" customHeight="1" x14ac:dyDescent="0.2">
      <c r="B10" s="97" t="s">
        <v>16</v>
      </c>
      <c r="C10" s="98" t="s">
        <v>33</v>
      </c>
      <c r="D10" s="99">
        <v>37601</v>
      </c>
      <c r="E10" s="187">
        <f t="shared" ref="E10:E25" si="0">ROUNDUP(YEARFRAC(D10,$D$31,0),2)</f>
        <v>10.06</v>
      </c>
      <c r="F10" s="189">
        <f t="shared" ref="F10:F25" si="1">IF(E10&gt;5,FLOOR(E10, 5)/5+2, 2)</f>
        <v>4</v>
      </c>
      <c r="G10" s="195">
        <v>23.05</v>
      </c>
      <c r="H10" s="197">
        <v>34.58</v>
      </c>
      <c r="I10" s="199">
        <v>86104.49</v>
      </c>
      <c r="J10" s="197">
        <v>141119.44</v>
      </c>
      <c r="K10" s="93"/>
      <c r="L10" s="115">
        <v>1800</v>
      </c>
      <c r="M10" s="116">
        <v>25.2</v>
      </c>
      <c r="N10" s="203">
        <v>100494.47</v>
      </c>
      <c r="O10" s="205">
        <v>133202.71</v>
      </c>
      <c r="P10" s="117">
        <v>2</v>
      </c>
      <c r="R10" s="209">
        <f t="shared" ref="R10:R24" si="2">G10*L10</f>
        <v>41490</v>
      </c>
      <c r="S10" s="213">
        <f t="shared" ref="S10:S25" si="3">H10*M10</f>
        <v>871.41599999999994</v>
      </c>
      <c r="T10" s="123"/>
      <c r="U10" s="125" t="s">
        <v>69</v>
      </c>
      <c r="V10" s="213">
        <f t="shared" ref="V10:V25" si="4">(N10*0.01)+(O10*0.015)</f>
        <v>3002.9853499999999</v>
      </c>
      <c r="W10" s="125" t="str">
        <f>IF('Données brutes'!N10&gt;='Données brutes'!I10, "Oui", "Non")</f>
        <v>Oui</v>
      </c>
      <c r="X10" s="213">
        <f t="shared" ref="X10:X25" si="5">IF(W10="Oui",(N10-I10) * 0.1,0)</f>
        <v>1438.9979999999996</v>
      </c>
      <c r="Y10" s="125" t="str">
        <f t="shared" ref="Y10:Y25" si="6">IF(O10&gt;=J10, "Oui", "Non")</f>
        <v>Non</v>
      </c>
      <c r="Z10" s="213">
        <f t="shared" ref="Z10:Z25" si="7">IF(Y10="Oui",(O10-J10) * 0.15, 0)</f>
        <v>0</v>
      </c>
      <c r="AA10" s="125" t="str">
        <f t="shared" ref="AA10:AA25" si="8">IF(P10&gt;=6, "Oui", "Non")</f>
        <v>Non</v>
      </c>
      <c r="AB10" s="213">
        <f t="shared" ref="AB10:AB25" si="9">IF(AA10="Oui",(N10+O10) * 0.0025, 0)</f>
        <v>0</v>
      </c>
      <c r="AC10" s="125" t="str">
        <f t="shared" ref="AC10:AC25" si="10">IF(AND(W10="Oui",Y10="Oui"), "Oui", "Non")</f>
        <v>Non</v>
      </c>
      <c r="AD10" s="213">
        <f t="shared" ref="AD10:AD25" si="11">IF(AC10="Oui",((N10-I10)+(O10-J10)) * (P10 / 100), 0)</f>
        <v>0</v>
      </c>
      <c r="AE10" s="127" t="str">
        <f t="shared" ref="AE10:AE25" si="12">IF(AND(AA10="Oui", OR(W10="Oui",Y10="Oui")), "Oui", "Non")</f>
        <v>Non</v>
      </c>
      <c r="AF10" s="213">
        <f t="shared" ref="AF10:AF25" si="13">IF(AE10="Oui", (N10+O10) / ($N$27+$O$27) * 15000, 0)</f>
        <v>0</v>
      </c>
      <c r="AG10" s="123"/>
      <c r="AH10" s="215">
        <f t="shared" ref="AH10:AH25" si="14">SUM(R10,S10,V10,X10,Z10,AB10,AD10,AF10)</f>
        <v>46803.39935</v>
      </c>
    </row>
    <row r="11" spans="2:34" ht="10.15" customHeight="1" x14ac:dyDescent="0.2">
      <c r="B11" s="103" t="s">
        <v>17</v>
      </c>
      <c r="C11" s="104" t="s">
        <v>34</v>
      </c>
      <c r="D11" s="105">
        <v>35826</v>
      </c>
      <c r="E11" s="186">
        <f t="shared" si="0"/>
        <v>14.92</v>
      </c>
      <c r="F11" s="188">
        <f t="shared" si="1"/>
        <v>4</v>
      </c>
      <c r="G11" s="194">
        <v>26.94</v>
      </c>
      <c r="H11" s="196">
        <v>40.409999999999997</v>
      </c>
      <c r="I11" s="198">
        <v>89605.86</v>
      </c>
      <c r="J11" s="196">
        <v>156292.04</v>
      </c>
      <c r="K11" s="93"/>
      <c r="L11" s="112">
        <v>1800</v>
      </c>
      <c r="M11" s="113">
        <v>0</v>
      </c>
      <c r="N11" s="202">
        <v>76821.77</v>
      </c>
      <c r="O11" s="204">
        <v>158727.13</v>
      </c>
      <c r="P11" s="114">
        <v>6</v>
      </c>
      <c r="R11" s="208">
        <f t="shared" si="2"/>
        <v>48492</v>
      </c>
      <c r="S11" s="212">
        <f t="shared" si="3"/>
        <v>0</v>
      </c>
      <c r="T11" s="123"/>
      <c r="U11" s="124" t="s">
        <v>69</v>
      </c>
      <c r="V11" s="212">
        <f t="shared" si="4"/>
        <v>3149.1246500000002</v>
      </c>
      <c r="W11" s="124" t="str">
        <f>IF('Données brutes'!N11&gt;='Données brutes'!I11, "Oui", "Non")</f>
        <v>Non</v>
      </c>
      <c r="X11" s="212">
        <f t="shared" si="5"/>
        <v>0</v>
      </c>
      <c r="Y11" s="124" t="str">
        <f t="shared" si="6"/>
        <v>Oui</v>
      </c>
      <c r="Z11" s="212">
        <f t="shared" si="7"/>
        <v>365.26349999999945</v>
      </c>
      <c r="AA11" s="124" t="str">
        <f t="shared" si="8"/>
        <v>Oui</v>
      </c>
      <c r="AB11" s="212">
        <f t="shared" si="9"/>
        <v>588.87225000000012</v>
      </c>
      <c r="AC11" s="124" t="str">
        <f t="shared" si="10"/>
        <v>Non</v>
      </c>
      <c r="AD11" s="212">
        <f t="shared" si="11"/>
        <v>0</v>
      </c>
      <c r="AE11" s="126" t="str">
        <f t="shared" si="12"/>
        <v>Oui</v>
      </c>
      <c r="AF11" s="212">
        <f t="shared" si="13"/>
        <v>865.42954182061294</v>
      </c>
      <c r="AG11" s="123"/>
      <c r="AH11" s="214">
        <f t="shared" si="14"/>
        <v>53460.689941820616</v>
      </c>
    </row>
    <row r="12" spans="2:34" ht="10.15" customHeight="1" x14ac:dyDescent="0.2">
      <c r="B12" s="97" t="s">
        <v>18</v>
      </c>
      <c r="C12" s="98" t="s">
        <v>34</v>
      </c>
      <c r="D12" s="99">
        <v>35403</v>
      </c>
      <c r="E12" s="187">
        <f t="shared" si="0"/>
        <v>16.080000000000002</v>
      </c>
      <c r="F12" s="189">
        <f t="shared" si="1"/>
        <v>5</v>
      </c>
      <c r="G12" s="195">
        <v>27.87</v>
      </c>
      <c r="H12" s="197">
        <v>41.81</v>
      </c>
      <c r="I12" s="199">
        <v>88556.09</v>
      </c>
      <c r="J12" s="197">
        <v>156576.41</v>
      </c>
      <c r="K12" s="93"/>
      <c r="L12" s="115">
        <v>1762.5</v>
      </c>
      <c r="M12" s="116">
        <v>0</v>
      </c>
      <c r="N12" s="203">
        <v>77813.539999999994</v>
      </c>
      <c r="O12" s="205">
        <v>170576.59</v>
      </c>
      <c r="P12" s="117">
        <v>9</v>
      </c>
      <c r="R12" s="209">
        <f t="shared" si="2"/>
        <v>49120.875</v>
      </c>
      <c r="S12" s="213">
        <f t="shared" si="3"/>
        <v>0</v>
      </c>
      <c r="T12" s="123"/>
      <c r="U12" s="125" t="s">
        <v>69</v>
      </c>
      <c r="V12" s="213">
        <f t="shared" si="4"/>
        <v>3336.7842500000002</v>
      </c>
      <c r="W12" s="125" t="str">
        <f>IF('Données brutes'!N12&gt;='Données brutes'!I12, "Oui", "Non")</f>
        <v>Non</v>
      </c>
      <c r="X12" s="213">
        <f t="shared" si="5"/>
        <v>0</v>
      </c>
      <c r="Y12" s="125" t="str">
        <f t="shared" si="6"/>
        <v>Oui</v>
      </c>
      <c r="Z12" s="213">
        <f t="shared" si="7"/>
        <v>2100.0269999999987</v>
      </c>
      <c r="AA12" s="125" t="str">
        <f t="shared" si="8"/>
        <v>Oui</v>
      </c>
      <c r="AB12" s="213">
        <f t="shared" si="9"/>
        <v>620.975325</v>
      </c>
      <c r="AC12" s="125" t="str">
        <f t="shared" si="10"/>
        <v>Non</v>
      </c>
      <c r="AD12" s="213">
        <f t="shared" si="11"/>
        <v>0</v>
      </c>
      <c r="AE12" s="127" t="str">
        <f t="shared" si="12"/>
        <v>Oui</v>
      </c>
      <c r="AF12" s="213">
        <f t="shared" si="13"/>
        <v>912.60946834675292</v>
      </c>
      <c r="AG12" s="123"/>
      <c r="AH12" s="215">
        <f t="shared" si="14"/>
        <v>56091.271043346751</v>
      </c>
    </row>
    <row r="13" spans="2:34" ht="10.15" customHeight="1" x14ac:dyDescent="0.2">
      <c r="B13" s="103" t="s">
        <v>19</v>
      </c>
      <c r="C13" s="104" t="s">
        <v>34</v>
      </c>
      <c r="D13" s="105">
        <v>33093</v>
      </c>
      <c r="E13" s="186">
        <f t="shared" si="0"/>
        <v>22.400000000000002</v>
      </c>
      <c r="F13" s="188">
        <f t="shared" si="1"/>
        <v>6</v>
      </c>
      <c r="G13" s="194">
        <v>32.93</v>
      </c>
      <c r="H13" s="196">
        <v>49.4</v>
      </c>
      <c r="I13" s="198">
        <v>91038.77</v>
      </c>
      <c r="J13" s="196">
        <v>172168.01</v>
      </c>
      <c r="K13" s="93"/>
      <c r="L13" s="112">
        <v>1725</v>
      </c>
      <c r="M13" s="113">
        <v>39.57</v>
      </c>
      <c r="N13" s="202">
        <v>96236.12</v>
      </c>
      <c r="O13" s="204">
        <v>177509.88</v>
      </c>
      <c r="P13" s="114">
        <v>7</v>
      </c>
      <c r="R13" s="208">
        <f t="shared" si="2"/>
        <v>56804.25</v>
      </c>
      <c r="S13" s="212">
        <f t="shared" si="3"/>
        <v>1954.758</v>
      </c>
      <c r="T13" s="123"/>
      <c r="U13" s="124" t="s">
        <v>69</v>
      </c>
      <c r="V13" s="212">
        <f t="shared" si="4"/>
        <v>3625.0093999999999</v>
      </c>
      <c r="W13" s="124" t="str">
        <f>IF('Données brutes'!N13&gt;='Données brutes'!I13, "Oui", "Non")</f>
        <v>Oui</v>
      </c>
      <c r="X13" s="212">
        <f t="shared" si="5"/>
        <v>519.7349999999991</v>
      </c>
      <c r="Y13" s="124" t="str">
        <f t="shared" si="6"/>
        <v>Oui</v>
      </c>
      <c r="Z13" s="212">
        <f t="shared" si="7"/>
        <v>801.28049999999928</v>
      </c>
      <c r="AA13" s="124" t="str">
        <f t="shared" si="8"/>
        <v>Oui</v>
      </c>
      <c r="AB13" s="212">
        <f t="shared" si="9"/>
        <v>684.36500000000001</v>
      </c>
      <c r="AC13" s="124" t="str">
        <f t="shared" si="10"/>
        <v>Oui</v>
      </c>
      <c r="AD13" s="212">
        <f t="shared" si="11"/>
        <v>737.74539999999911</v>
      </c>
      <c r="AE13" s="126" t="str">
        <f t="shared" si="12"/>
        <v>Oui</v>
      </c>
      <c r="AF13" s="212">
        <f t="shared" si="13"/>
        <v>1005.7693980113067</v>
      </c>
      <c r="AG13" s="123"/>
      <c r="AH13" s="214">
        <f t="shared" si="14"/>
        <v>66132.912698011307</v>
      </c>
    </row>
    <row r="14" spans="2:34" ht="10.15" customHeight="1" x14ac:dyDescent="0.2">
      <c r="B14" s="97" t="s">
        <v>20</v>
      </c>
      <c r="C14" s="98" t="s">
        <v>33</v>
      </c>
      <c r="D14" s="99">
        <v>37900</v>
      </c>
      <c r="E14" s="187">
        <f t="shared" si="0"/>
        <v>9.24</v>
      </c>
      <c r="F14" s="189">
        <f t="shared" si="1"/>
        <v>3</v>
      </c>
      <c r="G14" s="195">
        <v>22.4</v>
      </c>
      <c r="H14" s="197">
        <v>33.6</v>
      </c>
      <c r="I14" s="199">
        <v>87296.23</v>
      </c>
      <c r="J14" s="197">
        <v>141450.34</v>
      </c>
      <c r="K14" s="93"/>
      <c r="L14" s="115">
        <v>1837.5</v>
      </c>
      <c r="M14" s="116">
        <v>98.2</v>
      </c>
      <c r="N14" s="203">
        <v>86363.33</v>
      </c>
      <c r="O14" s="205">
        <v>120584.13</v>
      </c>
      <c r="P14" s="117">
        <v>6</v>
      </c>
      <c r="R14" s="209">
        <f t="shared" si="2"/>
        <v>41160</v>
      </c>
      <c r="S14" s="213">
        <f t="shared" si="3"/>
        <v>3299.5200000000004</v>
      </c>
      <c r="T14" s="123"/>
      <c r="U14" s="125" t="s">
        <v>69</v>
      </c>
      <c r="V14" s="213">
        <f t="shared" si="4"/>
        <v>2672.39525</v>
      </c>
      <c r="W14" s="125" t="str">
        <f>IF('Données brutes'!N14&gt;='Données brutes'!I14, "Oui", "Non")</f>
        <v>Non</v>
      </c>
      <c r="X14" s="213">
        <f t="shared" si="5"/>
        <v>0</v>
      </c>
      <c r="Y14" s="125" t="str">
        <f t="shared" si="6"/>
        <v>Non</v>
      </c>
      <c r="Z14" s="213">
        <f t="shared" si="7"/>
        <v>0</v>
      </c>
      <c r="AA14" s="125" t="str">
        <f t="shared" si="8"/>
        <v>Oui</v>
      </c>
      <c r="AB14" s="213">
        <f t="shared" si="9"/>
        <v>517.36865000000012</v>
      </c>
      <c r="AC14" s="125" t="str">
        <f t="shared" si="10"/>
        <v>Non</v>
      </c>
      <c r="AD14" s="213">
        <f t="shared" si="11"/>
        <v>0</v>
      </c>
      <c r="AE14" s="127" t="str">
        <f t="shared" si="12"/>
        <v>Non</v>
      </c>
      <c r="AF14" s="213">
        <f t="shared" si="13"/>
        <v>0</v>
      </c>
      <c r="AG14" s="123"/>
      <c r="AH14" s="215">
        <f t="shared" si="14"/>
        <v>47649.283900000002</v>
      </c>
    </row>
    <row r="15" spans="2:34" ht="10.15" customHeight="1" x14ac:dyDescent="0.2">
      <c r="B15" s="103" t="s">
        <v>21</v>
      </c>
      <c r="C15" s="104" t="s">
        <v>33</v>
      </c>
      <c r="D15" s="105">
        <v>35590</v>
      </c>
      <c r="E15" s="186">
        <f t="shared" si="0"/>
        <v>15.57</v>
      </c>
      <c r="F15" s="188">
        <f t="shared" si="1"/>
        <v>5</v>
      </c>
      <c r="G15" s="194">
        <v>27.46</v>
      </c>
      <c r="H15" s="196">
        <v>41.19</v>
      </c>
      <c r="I15" s="198">
        <v>88194.9</v>
      </c>
      <c r="J15" s="196">
        <v>155011.24</v>
      </c>
      <c r="K15" s="93"/>
      <c r="L15" s="112">
        <v>1762.5</v>
      </c>
      <c r="M15" s="113">
        <v>244.14</v>
      </c>
      <c r="N15" s="202">
        <v>98812.43</v>
      </c>
      <c r="O15" s="204">
        <v>119521.7</v>
      </c>
      <c r="P15" s="114">
        <v>6</v>
      </c>
      <c r="R15" s="208">
        <f t="shared" si="2"/>
        <v>48398.25</v>
      </c>
      <c r="S15" s="212">
        <f t="shared" si="3"/>
        <v>10056.1266</v>
      </c>
      <c r="T15" s="123"/>
      <c r="U15" s="124" t="s">
        <v>69</v>
      </c>
      <c r="V15" s="212">
        <f t="shared" si="4"/>
        <v>2780.9497999999999</v>
      </c>
      <c r="W15" s="124" t="str">
        <f>IF('Données brutes'!N15&gt;='Données brutes'!I15, "Oui", "Non")</f>
        <v>Oui</v>
      </c>
      <c r="X15" s="212">
        <f t="shared" si="5"/>
        <v>1061.7529999999999</v>
      </c>
      <c r="Y15" s="124" t="str">
        <f t="shared" si="6"/>
        <v>Non</v>
      </c>
      <c r="Z15" s="212">
        <f t="shared" si="7"/>
        <v>0</v>
      </c>
      <c r="AA15" s="124" t="str">
        <f t="shared" si="8"/>
        <v>Oui</v>
      </c>
      <c r="AB15" s="212">
        <f t="shared" si="9"/>
        <v>545.83532500000001</v>
      </c>
      <c r="AC15" s="124" t="str">
        <f t="shared" si="10"/>
        <v>Non</v>
      </c>
      <c r="AD15" s="212">
        <f t="shared" si="11"/>
        <v>0</v>
      </c>
      <c r="AE15" s="126" t="str">
        <f t="shared" si="12"/>
        <v>Oui</v>
      </c>
      <c r="AF15" s="212">
        <f t="shared" si="13"/>
        <v>802.18080445165378</v>
      </c>
      <c r="AG15" s="123"/>
      <c r="AH15" s="214">
        <f t="shared" si="14"/>
        <v>63645.095529451653</v>
      </c>
    </row>
    <row r="16" spans="2:34" ht="10.15" customHeight="1" x14ac:dyDescent="0.2">
      <c r="B16" s="97" t="s">
        <v>22</v>
      </c>
      <c r="C16" s="98" t="s">
        <v>33</v>
      </c>
      <c r="D16" s="99">
        <v>35192</v>
      </c>
      <c r="E16" s="187">
        <f t="shared" si="0"/>
        <v>16.649999999999999</v>
      </c>
      <c r="F16" s="189">
        <f t="shared" si="1"/>
        <v>5</v>
      </c>
      <c r="G16" s="195">
        <v>28.33</v>
      </c>
      <c r="H16" s="197">
        <v>42.5</v>
      </c>
      <c r="I16" s="199">
        <v>88963.64</v>
      </c>
      <c r="J16" s="197">
        <v>158342.45000000001</v>
      </c>
      <c r="K16" s="93"/>
      <c r="L16" s="115">
        <v>1762.5</v>
      </c>
      <c r="M16" s="116">
        <v>109.39</v>
      </c>
      <c r="N16" s="203">
        <v>89879.18</v>
      </c>
      <c r="O16" s="205">
        <v>164850.17000000001</v>
      </c>
      <c r="P16" s="117">
        <v>4</v>
      </c>
      <c r="R16" s="209">
        <f t="shared" si="2"/>
        <v>49931.625</v>
      </c>
      <c r="S16" s="213">
        <f t="shared" si="3"/>
        <v>4649.0749999999998</v>
      </c>
      <c r="T16" s="123"/>
      <c r="U16" s="125" t="s">
        <v>69</v>
      </c>
      <c r="V16" s="213">
        <f t="shared" si="4"/>
        <v>3371.5443500000001</v>
      </c>
      <c r="W16" s="125" t="str">
        <f>IF('Données brutes'!N16&gt;='Données brutes'!I16, "Oui", "Non")</f>
        <v>Oui</v>
      </c>
      <c r="X16" s="213">
        <f t="shared" si="5"/>
        <v>91.553999999999363</v>
      </c>
      <c r="Y16" s="125" t="str">
        <f t="shared" si="6"/>
        <v>Oui</v>
      </c>
      <c r="Z16" s="213">
        <f t="shared" si="7"/>
        <v>976.15800000000013</v>
      </c>
      <c r="AA16" s="125" t="str">
        <f t="shared" si="8"/>
        <v>Non</v>
      </c>
      <c r="AB16" s="213">
        <f t="shared" si="9"/>
        <v>0</v>
      </c>
      <c r="AC16" s="125" t="str">
        <f t="shared" si="10"/>
        <v>Oui</v>
      </c>
      <c r="AD16" s="213">
        <f t="shared" si="11"/>
        <v>296.93039999999979</v>
      </c>
      <c r="AE16" s="127" t="str">
        <f t="shared" si="12"/>
        <v>Non</v>
      </c>
      <c r="AF16" s="213">
        <f t="shared" si="13"/>
        <v>0</v>
      </c>
      <c r="AG16" s="123"/>
      <c r="AH16" s="215">
        <f t="shared" si="14"/>
        <v>59316.886749999991</v>
      </c>
    </row>
    <row r="17" spans="2:34" ht="10.15" customHeight="1" x14ac:dyDescent="0.2">
      <c r="B17" s="103" t="s">
        <v>23</v>
      </c>
      <c r="C17" s="104" t="s">
        <v>33</v>
      </c>
      <c r="D17" s="105">
        <v>36628</v>
      </c>
      <c r="E17" s="186">
        <f t="shared" si="0"/>
        <v>12.72</v>
      </c>
      <c r="F17" s="188">
        <f t="shared" si="1"/>
        <v>4</v>
      </c>
      <c r="G17" s="194">
        <v>25.19</v>
      </c>
      <c r="H17" s="196">
        <v>37.78</v>
      </c>
      <c r="I17" s="198">
        <v>88023.83</v>
      </c>
      <c r="J17" s="196">
        <v>149436.59</v>
      </c>
      <c r="K17" s="93"/>
      <c r="L17" s="112">
        <v>1800</v>
      </c>
      <c r="M17" s="113">
        <v>0</v>
      </c>
      <c r="N17" s="202">
        <v>92616.29</v>
      </c>
      <c r="O17" s="204">
        <v>149766.94</v>
      </c>
      <c r="P17" s="114">
        <v>9</v>
      </c>
      <c r="R17" s="208">
        <f t="shared" si="2"/>
        <v>45342</v>
      </c>
      <c r="S17" s="212">
        <f t="shared" si="3"/>
        <v>0</v>
      </c>
      <c r="T17" s="123"/>
      <c r="U17" s="124" t="s">
        <v>69</v>
      </c>
      <c r="V17" s="212">
        <f t="shared" si="4"/>
        <v>3172.6669999999999</v>
      </c>
      <c r="W17" s="124" t="str">
        <f>IF('Données brutes'!N17&gt;='Données brutes'!I17, "Oui", "Non")</f>
        <v>Oui</v>
      </c>
      <c r="X17" s="212">
        <f t="shared" si="5"/>
        <v>459.24599999999919</v>
      </c>
      <c r="Y17" s="124" t="str">
        <f t="shared" si="6"/>
        <v>Oui</v>
      </c>
      <c r="Z17" s="212">
        <f t="shared" si="7"/>
        <v>49.552500000000869</v>
      </c>
      <c r="AA17" s="124" t="str">
        <f t="shared" si="8"/>
        <v>Oui</v>
      </c>
      <c r="AB17" s="212">
        <f t="shared" si="9"/>
        <v>605.95807500000001</v>
      </c>
      <c r="AC17" s="124" t="str">
        <f t="shared" si="10"/>
        <v>Oui</v>
      </c>
      <c r="AD17" s="212">
        <f t="shared" si="11"/>
        <v>443.05289999999979</v>
      </c>
      <c r="AE17" s="126" t="str">
        <f t="shared" si="12"/>
        <v>Oui</v>
      </c>
      <c r="AF17" s="212">
        <f t="shared" si="13"/>
        <v>890.53953418547155</v>
      </c>
      <c r="AG17" s="123"/>
      <c r="AH17" s="214">
        <f t="shared" si="14"/>
        <v>50963.016009185478</v>
      </c>
    </row>
    <row r="18" spans="2:34" ht="10.15" customHeight="1" x14ac:dyDescent="0.2">
      <c r="B18" s="97" t="s">
        <v>24</v>
      </c>
      <c r="C18" s="98" t="s">
        <v>33</v>
      </c>
      <c r="D18" s="99">
        <v>30115</v>
      </c>
      <c r="E18" s="187">
        <f t="shared" si="0"/>
        <v>30.55</v>
      </c>
      <c r="F18" s="189">
        <f t="shared" si="1"/>
        <v>8</v>
      </c>
      <c r="G18" s="195">
        <v>39.46</v>
      </c>
      <c r="H18" s="197">
        <v>59.19</v>
      </c>
      <c r="I18" s="199">
        <v>92465.44</v>
      </c>
      <c r="J18" s="197">
        <v>188016.91</v>
      </c>
      <c r="K18" s="93"/>
      <c r="L18" s="115">
        <v>1650</v>
      </c>
      <c r="M18" s="116">
        <v>143.27000000000001</v>
      </c>
      <c r="N18" s="203">
        <v>86538.68</v>
      </c>
      <c r="O18" s="205">
        <v>168507.1</v>
      </c>
      <c r="P18" s="117">
        <v>5</v>
      </c>
      <c r="R18" s="209">
        <f t="shared" si="2"/>
        <v>65109</v>
      </c>
      <c r="S18" s="213">
        <f t="shared" si="3"/>
        <v>8480.1512999999995</v>
      </c>
      <c r="T18" s="123"/>
      <c r="U18" s="125" t="s">
        <v>69</v>
      </c>
      <c r="V18" s="213">
        <f t="shared" si="4"/>
        <v>3392.9933000000001</v>
      </c>
      <c r="W18" s="125" t="str">
        <f>IF('Données brutes'!N18&gt;='Données brutes'!I18, "Oui", "Non")</f>
        <v>Non</v>
      </c>
      <c r="X18" s="213">
        <f t="shared" si="5"/>
        <v>0</v>
      </c>
      <c r="Y18" s="125" t="str">
        <f t="shared" si="6"/>
        <v>Non</v>
      </c>
      <c r="Z18" s="213">
        <f t="shared" si="7"/>
        <v>0</v>
      </c>
      <c r="AA18" s="125" t="str">
        <f t="shared" si="8"/>
        <v>Non</v>
      </c>
      <c r="AB18" s="213">
        <f t="shared" si="9"/>
        <v>0</v>
      </c>
      <c r="AC18" s="125" t="str">
        <f t="shared" si="10"/>
        <v>Non</v>
      </c>
      <c r="AD18" s="213">
        <f t="shared" si="11"/>
        <v>0</v>
      </c>
      <c r="AE18" s="127" t="str">
        <f t="shared" si="12"/>
        <v>Non</v>
      </c>
      <c r="AF18" s="213">
        <f t="shared" si="13"/>
        <v>0</v>
      </c>
      <c r="AG18" s="123"/>
      <c r="AH18" s="215">
        <f t="shared" si="14"/>
        <v>76982.1446</v>
      </c>
    </row>
    <row r="19" spans="2:34" ht="10.15" customHeight="1" x14ac:dyDescent="0.2">
      <c r="B19" s="103" t="s">
        <v>25</v>
      </c>
      <c r="C19" s="104" t="s">
        <v>33</v>
      </c>
      <c r="D19" s="105">
        <v>41231</v>
      </c>
      <c r="E19" s="186">
        <f t="shared" si="0"/>
        <v>0.12</v>
      </c>
      <c r="F19" s="188">
        <f t="shared" si="1"/>
        <v>2</v>
      </c>
      <c r="G19" s="194">
        <v>15.1</v>
      </c>
      <c r="H19" s="196">
        <v>22.64</v>
      </c>
      <c r="I19" s="198">
        <v>82233.27</v>
      </c>
      <c r="J19" s="196">
        <v>114677.5</v>
      </c>
      <c r="K19" s="93"/>
      <c r="L19" s="112">
        <v>1875</v>
      </c>
      <c r="M19" s="113">
        <v>0</v>
      </c>
      <c r="N19" s="202">
        <v>74240.86</v>
      </c>
      <c r="O19" s="204">
        <v>112740.09</v>
      </c>
      <c r="P19" s="114">
        <v>5</v>
      </c>
      <c r="R19" s="208">
        <f t="shared" si="2"/>
        <v>28312.5</v>
      </c>
      <c r="S19" s="212">
        <f t="shared" si="3"/>
        <v>0</v>
      </c>
      <c r="T19" s="123"/>
      <c r="U19" s="124" t="s">
        <v>69</v>
      </c>
      <c r="V19" s="212">
        <f t="shared" si="4"/>
        <v>2433.5099499999997</v>
      </c>
      <c r="W19" s="124" t="str">
        <f>IF('Données brutes'!N19&gt;='Données brutes'!I19, "Oui", "Non")</f>
        <v>Non</v>
      </c>
      <c r="X19" s="212">
        <f t="shared" si="5"/>
        <v>0</v>
      </c>
      <c r="Y19" s="124" t="str">
        <f t="shared" si="6"/>
        <v>Non</v>
      </c>
      <c r="Z19" s="212">
        <f t="shared" si="7"/>
        <v>0</v>
      </c>
      <c r="AA19" s="124" t="str">
        <f t="shared" si="8"/>
        <v>Non</v>
      </c>
      <c r="AB19" s="212">
        <f t="shared" si="9"/>
        <v>0</v>
      </c>
      <c r="AC19" s="124" t="str">
        <f t="shared" si="10"/>
        <v>Non</v>
      </c>
      <c r="AD19" s="212">
        <f t="shared" si="11"/>
        <v>0</v>
      </c>
      <c r="AE19" s="126" t="str">
        <f t="shared" si="12"/>
        <v>Non</v>
      </c>
      <c r="AF19" s="212">
        <f t="shared" si="13"/>
        <v>0</v>
      </c>
      <c r="AG19" s="123"/>
      <c r="AH19" s="214">
        <f t="shared" si="14"/>
        <v>30746.00995</v>
      </c>
    </row>
    <row r="20" spans="2:34" ht="10.15" customHeight="1" x14ac:dyDescent="0.2">
      <c r="B20" s="97" t="s">
        <v>26</v>
      </c>
      <c r="C20" s="98" t="s">
        <v>34</v>
      </c>
      <c r="D20" s="99">
        <v>31824</v>
      </c>
      <c r="E20" s="187">
        <f t="shared" si="0"/>
        <v>25.880000000000003</v>
      </c>
      <c r="F20" s="189">
        <f t="shared" si="1"/>
        <v>7</v>
      </c>
      <c r="G20" s="195">
        <v>35.71</v>
      </c>
      <c r="H20" s="197">
        <v>53.57</v>
      </c>
      <c r="I20" s="199">
        <v>91406.45</v>
      </c>
      <c r="J20" s="197">
        <v>178594.61</v>
      </c>
      <c r="K20" s="93"/>
      <c r="L20" s="115">
        <v>1687.5</v>
      </c>
      <c r="M20" s="116">
        <v>145.13</v>
      </c>
      <c r="N20" s="203">
        <v>90744.11</v>
      </c>
      <c r="O20" s="205">
        <v>180217.79</v>
      </c>
      <c r="P20" s="117">
        <v>9</v>
      </c>
      <c r="R20" s="209">
        <f t="shared" si="2"/>
        <v>60260.625</v>
      </c>
      <c r="S20" s="213">
        <f t="shared" si="3"/>
        <v>7774.6140999999998</v>
      </c>
      <c r="T20" s="123"/>
      <c r="U20" s="125" t="s">
        <v>69</v>
      </c>
      <c r="V20" s="213">
        <f t="shared" si="4"/>
        <v>3610.70795</v>
      </c>
      <c r="W20" s="125" t="str">
        <f>IF('Données brutes'!N20&gt;='Données brutes'!I20, "Oui", "Non")</f>
        <v>Non</v>
      </c>
      <c r="X20" s="213">
        <f t="shared" si="5"/>
        <v>0</v>
      </c>
      <c r="Y20" s="125" t="str">
        <f t="shared" si="6"/>
        <v>Oui</v>
      </c>
      <c r="Z20" s="213">
        <f t="shared" si="7"/>
        <v>243.4770000000033</v>
      </c>
      <c r="AA20" s="125" t="str">
        <f t="shared" si="8"/>
        <v>Oui</v>
      </c>
      <c r="AB20" s="213">
        <f t="shared" si="9"/>
        <v>677.40475000000004</v>
      </c>
      <c r="AC20" s="125" t="str">
        <f t="shared" si="10"/>
        <v>Non</v>
      </c>
      <c r="AD20" s="213">
        <f t="shared" si="11"/>
        <v>0</v>
      </c>
      <c r="AE20" s="127" t="str">
        <f t="shared" si="12"/>
        <v>Oui</v>
      </c>
      <c r="AF20" s="213">
        <f t="shared" si="13"/>
        <v>995.54034414018804</v>
      </c>
      <c r="AG20" s="123"/>
      <c r="AH20" s="215">
        <f t="shared" si="14"/>
        <v>73562.36914414019</v>
      </c>
    </row>
    <row r="21" spans="2:34" ht="10.15" customHeight="1" x14ac:dyDescent="0.2">
      <c r="B21" s="103" t="s">
        <v>27</v>
      </c>
      <c r="C21" s="104" t="s">
        <v>34</v>
      </c>
      <c r="D21" s="105">
        <v>38150</v>
      </c>
      <c r="E21" s="186">
        <f t="shared" si="0"/>
        <v>8.56</v>
      </c>
      <c r="F21" s="190">
        <f t="shared" si="1"/>
        <v>3</v>
      </c>
      <c r="G21" s="194">
        <v>21.85</v>
      </c>
      <c r="H21" s="196">
        <v>32.770000000000003</v>
      </c>
      <c r="I21" s="198">
        <v>86792.81</v>
      </c>
      <c r="J21" s="196">
        <v>139268.84</v>
      </c>
      <c r="K21" s="93"/>
      <c r="L21" s="112">
        <v>1837.5</v>
      </c>
      <c r="M21" s="113">
        <v>191.85</v>
      </c>
      <c r="N21" s="202">
        <v>92277.83</v>
      </c>
      <c r="O21" s="204">
        <v>139124.15</v>
      </c>
      <c r="P21" s="114">
        <v>3</v>
      </c>
      <c r="R21" s="208">
        <f t="shared" si="2"/>
        <v>40149.375</v>
      </c>
      <c r="S21" s="212">
        <f t="shared" si="3"/>
        <v>6286.9245000000001</v>
      </c>
      <c r="T21" s="123"/>
      <c r="U21" s="124" t="s">
        <v>69</v>
      </c>
      <c r="V21" s="212">
        <f t="shared" si="4"/>
        <v>3009.6405499999996</v>
      </c>
      <c r="W21" s="124" t="str">
        <f>IF('Données brutes'!N21&gt;='Données brutes'!I21, "Oui", "Non")</f>
        <v>Oui</v>
      </c>
      <c r="X21" s="212">
        <f t="shared" si="5"/>
        <v>548.50200000000041</v>
      </c>
      <c r="Y21" s="124" t="str">
        <f t="shared" si="6"/>
        <v>Non</v>
      </c>
      <c r="Z21" s="212">
        <f t="shared" si="7"/>
        <v>0</v>
      </c>
      <c r="AA21" s="124" t="str">
        <f t="shared" si="8"/>
        <v>Non</v>
      </c>
      <c r="AB21" s="212">
        <f t="shared" si="9"/>
        <v>0</v>
      </c>
      <c r="AC21" s="124" t="str">
        <f t="shared" si="10"/>
        <v>Non</v>
      </c>
      <c r="AD21" s="212">
        <f t="shared" si="11"/>
        <v>0</v>
      </c>
      <c r="AE21" s="126" t="str">
        <f t="shared" si="12"/>
        <v>Non</v>
      </c>
      <c r="AF21" s="212">
        <f t="shared" si="13"/>
        <v>0</v>
      </c>
      <c r="AG21" s="123"/>
      <c r="AH21" s="214">
        <f t="shared" si="14"/>
        <v>49994.442049999998</v>
      </c>
    </row>
    <row r="22" spans="2:34" ht="10.15" customHeight="1" x14ac:dyDescent="0.2">
      <c r="B22" s="97" t="s">
        <v>28</v>
      </c>
      <c r="C22" s="98" t="s">
        <v>33</v>
      </c>
      <c r="D22" s="99">
        <v>32891</v>
      </c>
      <c r="E22" s="187">
        <f t="shared" si="0"/>
        <v>22.96</v>
      </c>
      <c r="F22" s="189">
        <f t="shared" si="1"/>
        <v>6</v>
      </c>
      <c r="G22" s="195">
        <v>33.380000000000003</v>
      </c>
      <c r="H22" s="197">
        <v>50.06</v>
      </c>
      <c r="I22" s="199">
        <v>91420.63</v>
      </c>
      <c r="J22" s="197">
        <v>173822.75</v>
      </c>
      <c r="K22" s="93"/>
      <c r="L22" s="115">
        <v>1725</v>
      </c>
      <c r="M22" s="116">
        <v>150.72</v>
      </c>
      <c r="N22" s="203">
        <v>80527.14</v>
      </c>
      <c r="O22" s="205">
        <v>181545.58</v>
      </c>
      <c r="P22" s="117">
        <v>5</v>
      </c>
      <c r="R22" s="209">
        <f t="shared" si="2"/>
        <v>57580.500000000007</v>
      </c>
      <c r="S22" s="213">
        <f t="shared" si="3"/>
        <v>7545.0432000000001</v>
      </c>
      <c r="T22" s="123"/>
      <c r="U22" s="125" t="s">
        <v>69</v>
      </c>
      <c r="V22" s="213">
        <f t="shared" si="4"/>
        <v>3528.4550999999997</v>
      </c>
      <c r="W22" s="125" t="str">
        <f>IF('Données brutes'!N22&gt;='Données brutes'!I22, "Oui", "Non")</f>
        <v>Non</v>
      </c>
      <c r="X22" s="213">
        <f t="shared" si="5"/>
        <v>0</v>
      </c>
      <c r="Y22" s="125" t="str">
        <f t="shared" si="6"/>
        <v>Oui</v>
      </c>
      <c r="Z22" s="213">
        <f t="shared" si="7"/>
        <v>1158.424499999998</v>
      </c>
      <c r="AA22" s="125" t="str">
        <f t="shared" si="8"/>
        <v>Non</v>
      </c>
      <c r="AB22" s="213">
        <f t="shared" si="9"/>
        <v>0</v>
      </c>
      <c r="AC22" s="125" t="str">
        <f t="shared" si="10"/>
        <v>Non</v>
      </c>
      <c r="AD22" s="213">
        <f t="shared" si="11"/>
        <v>0</v>
      </c>
      <c r="AE22" s="127" t="str">
        <f t="shared" si="12"/>
        <v>Non</v>
      </c>
      <c r="AF22" s="213">
        <f t="shared" si="13"/>
        <v>0</v>
      </c>
      <c r="AG22" s="123"/>
      <c r="AH22" s="215">
        <f t="shared" si="14"/>
        <v>69812.4228</v>
      </c>
    </row>
    <row r="23" spans="2:34" ht="10.15" customHeight="1" x14ac:dyDescent="0.2">
      <c r="B23" s="103" t="s">
        <v>29</v>
      </c>
      <c r="C23" s="104" t="s">
        <v>34</v>
      </c>
      <c r="D23" s="105">
        <v>41102</v>
      </c>
      <c r="E23" s="186">
        <f t="shared" si="0"/>
        <v>0.47000000000000003</v>
      </c>
      <c r="F23" s="188">
        <f t="shared" si="1"/>
        <v>2</v>
      </c>
      <c r="G23" s="194">
        <v>15.38</v>
      </c>
      <c r="H23" s="196">
        <v>23.07</v>
      </c>
      <c r="I23" s="198">
        <v>82498.34</v>
      </c>
      <c r="J23" s="196">
        <v>115826.13</v>
      </c>
      <c r="K23" s="93"/>
      <c r="L23" s="112">
        <v>1875</v>
      </c>
      <c r="M23" s="113">
        <v>159.16999999999999</v>
      </c>
      <c r="N23" s="202">
        <v>73878.58</v>
      </c>
      <c r="O23" s="204">
        <v>125469.62</v>
      </c>
      <c r="P23" s="114">
        <v>9</v>
      </c>
      <c r="R23" s="208">
        <f t="shared" si="2"/>
        <v>28837.5</v>
      </c>
      <c r="S23" s="212">
        <f t="shared" si="3"/>
        <v>3672.0518999999999</v>
      </c>
      <c r="T23" s="123"/>
      <c r="U23" s="124" t="s">
        <v>69</v>
      </c>
      <c r="V23" s="212">
        <f t="shared" si="4"/>
        <v>2620.8300999999997</v>
      </c>
      <c r="W23" s="124" t="str">
        <f>IF('Données brutes'!N23&gt;='Données brutes'!I23, "Oui", "Non")</f>
        <v>Non</v>
      </c>
      <c r="X23" s="212">
        <f t="shared" si="5"/>
        <v>0</v>
      </c>
      <c r="Y23" s="124" t="str">
        <f t="shared" si="6"/>
        <v>Oui</v>
      </c>
      <c r="Z23" s="212">
        <f t="shared" si="7"/>
        <v>1446.5234999999986</v>
      </c>
      <c r="AA23" s="124" t="str">
        <f t="shared" si="8"/>
        <v>Oui</v>
      </c>
      <c r="AB23" s="212">
        <f t="shared" si="9"/>
        <v>498.37050000000005</v>
      </c>
      <c r="AC23" s="124" t="str">
        <f t="shared" si="10"/>
        <v>Non</v>
      </c>
      <c r="AD23" s="212">
        <f t="shared" si="11"/>
        <v>0</v>
      </c>
      <c r="AE23" s="126" t="str">
        <f t="shared" si="12"/>
        <v>Oui</v>
      </c>
      <c r="AF23" s="212">
        <f t="shared" si="13"/>
        <v>732.42465317717006</v>
      </c>
      <c r="AG23" s="123"/>
      <c r="AH23" s="214">
        <f t="shared" si="14"/>
        <v>37807.700653177162</v>
      </c>
    </row>
    <row r="24" spans="2:34" ht="10.15" customHeight="1" x14ac:dyDescent="0.2">
      <c r="B24" s="100" t="s">
        <v>30</v>
      </c>
      <c r="C24" s="101" t="s">
        <v>34</v>
      </c>
      <c r="D24" s="99">
        <v>29465</v>
      </c>
      <c r="E24" s="187">
        <f>ROUNDUP(YEARFRAC(D24,$D$31,0),1)</f>
        <v>32.4</v>
      </c>
      <c r="F24" s="189">
        <f t="shared" si="1"/>
        <v>8</v>
      </c>
      <c r="G24" s="195">
        <v>40.880000000000003</v>
      </c>
      <c r="H24" s="197">
        <v>61.33</v>
      </c>
      <c r="I24" s="199">
        <v>93640.78</v>
      </c>
      <c r="J24" s="197">
        <v>193110.06</v>
      </c>
      <c r="K24" s="93"/>
      <c r="L24" s="115">
        <v>1650</v>
      </c>
      <c r="M24" s="116">
        <v>0</v>
      </c>
      <c r="N24" s="203">
        <v>83732.44</v>
      </c>
      <c r="O24" s="205">
        <v>208951.82</v>
      </c>
      <c r="P24" s="117">
        <v>2</v>
      </c>
      <c r="R24" s="209">
        <f t="shared" si="2"/>
        <v>67452</v>
      </c>
      <c r="S24" s="213">
        <f t="shared" si="3"/>
        <v>0</v>
      </c>
      <c r="T24" s="123"/>
      <c r="U24" s="125" t="s">
        <v>69</v>
      </c>
      <c r="V24" s="213">
        <f t="shared" si="4"/>
        <v>3971.6017000000002</v>
      </c>
      <c r="W24" s="125" t="str">
        <f>IF('Données brutes'!N24&gt;='Données brutes'!I24, "Oui", "Non")</f>
        <v>Non</v>
      </c>
      <c r="X24" s="213">
        <f t="shared" si="5"/>
        <v>0</v>
      </c>
      <c r="Y24" s="125" t="str">
        <f t="shared" si="6"/>
        <v>Oui</v>
      </c>
      <c r="Z24" s="213">
        <f t="shared" si="7"/>
        <v>2376.2640000000015</v>
      </c>
      <c r="AA24" s="125" t="str">
        <f t="shared" si="8"/>
        <v>Non</v>
      </c>
      <c r="AB24" s="213">
        <f t="shared" si="9"/>
        <v>0</v>
      </c>
      <c r="AC24" s="125" t="str">
        <f t="shared" si="10"/>
        <v>Non</v>
      </c>
      <c r="AD24" s="213">
        <f t="shared" si="11"/>
        <v>0</v>
      </c>
      <c r="AE24" s="127" t="str">
        <f t="shared" si="12"/>
        <v>Non</v>
      </c>
      <c r="AF24" s="213">
        <f t="shared" si="13"/>
        <v>0</v>
      </c>
      <c r="AG24" s="123"/>
      <c r="AH24" s="215">
        <f t="shared" si="14"/>
        <v>73799.865699999995</v>
      </c>
    </row>
    <row r="25" spans="2:34" ht="10.15" customHeight="1" x14ac:dyDescent="0.2">
      <c r="B25" s="106" t="s">
        <v>31</v>
      </c>
      <c r="C25" s="107" t="s">
        <v>34</v>
      </c>
      <c r="D25" s="105">
        <v>30711</v>
      </c>
      <c r="E25" s="186">
        <f t="shared" si="0"/>
        <v>28.92</v>
      </c>
      <c r="F25" s="188">
        <f t="shared" si="1"/>
        <v>7</v>
      </c>
      <c r="G25" s="194">
        <v>38.15</v>
      </c>
      <c r="H25" s="196">
        <v>57.23</v>
      </c>
      <c r="I25" s="198">
        <v>93464.74</v>
      </c>
      <c r="J25" s="196">
        <v>187513.86</v>
      </c>
      <c r="K25" s="93"/>
      <c r="L25" s="112">
        <v>1687.5</v>
      </c>
      <c r="M25" s="113">
        <v>226.41</v>
      </c>
      <c r="N25" s="202">
        <v>98278.63</v>
      </c>
      <c r="O25" s="204">
        <v>171337.91</v>
      </c>
      <c r="P25" s="114">
        <v>5</v>
      </c>
      <c r="R25" s="208">
        <f>G25*L25</f>
        <v>64378.125</v>
      </c>
      <c r="S25" s="212">
        <f t="shared" si="3"/>
        <v>12957.444299999999</v>
      </c>
      <c r="T25" s="123"/>
      <c r="U25" s="124" t="s">
        <v>69</v>
      </c>
      <c r="V25" s="212">
        <f t="shared" si="4"/>
        <v>3552.8549500000004</v>
      </c>
      <c r="W25" s="124" t="str">
        <f>IF('Données brutes'!N25&gt;='Données brutes'!I25, "Oui", "Non")</f>
        <v>Oui</v>
      </c>
      <c r="X25" s="212">
        <f t="shared" si="5"/>
        <v>481.38899999999995</v>
      </c>
      <c r="Y25" s="124" t="str">
        <f t="shared" si="6"/>
        <v>Non</v>
      </c>
      <c r="Z25" s="212">
        <f t="shared" si="7"/>
        <v>0</v>
      </c>
      <c r="AA25" s="124" t="str">
        <f t="shared" si="8"/>
        <v>Non</v>
      </c>
      <c r="AB25" s="212">
        <f t="shared" si="9"/>
        <v>0</v>
      </c>
      <c r="AC25" s="124" t="str">
        <f t="shared" si="10"/>
        <v>Non</v>
      </c>
      <c r="AD25" s="212">
        <f t="shared" si="11"/>
        <v>0</v>
      </c>
      <c r="AE25" s="126" t="str">
        <f t="shared" si="12"/>
        <v>Non</v>
      </c>
      <c r="AF25" s="212">
        <f t="shared" si="13"/>
        <v>0</v>
      </c>
      <c r="AG25" s="123"/>
      <c r="AH25" s="214">
        <f t="shared" si="14"/>
        <v>81369.813249999992</v>
      </c>
    </row>
    <row r="26" spans="2:34" ht="3" customHeight="1" x14ac:dyDescent="0.2">
      <c r="R26" s="122"/>
    </row>
    <row r="27" spans="2:34" ht="10.15" customHeight="1" x14ac:dyDescent="0.2">
      <c r="I27" s="200">
        <f>SUM(I9:I26)</f>
        <v>1508346.0400000003</v>
      </c>
      <c r="J27" s="201">
        <f>SUM(J9:J26)</f>
        <v>2659832.84</v>
      </c>
      <c r="N27" s="206">
        <f>SUM(N9:N26)</f>
        <v>1486480.73</v>
      </c>
      <c r="O27" s="207">
        <f>SUM(O9:O26)</f>
        <v>2596154.92</v>
      </c>
      <c r="R27" s="210">
        <f>SUM(R9:R26)</f>
        <v>832655.625</v>
      </c>
      <c r="S27" s="211">
        <f>SUM(S9:S26)</f>
        <v>67960.128899999996</v>
      </c>
      <c r="V27" s="211">
        <f>SUM(V9:V26)</f>
        <v>53807.131099999991</v>
      </c>
      <c r="X27" s="211">
        <f>SUM(X9:X26)</f>
        <v>4659.7329999999974</v>
      </c>
      <c r="Z27" s="211">
        <f>SUM(Z9:Z26)</f>
        <v>9516.9704999999994</v>
      </c>
      <c r="AB27" s="211">
        <f>SUM(AB9:AB26)</f>
        <v>5241.0172250000005</v>
      </c>
      <c r="AD27" s="211">
        <f>SUM(AD9:AD26)</f>
        <v>1477.7286999999988</v>
      </c>
      <c r="AF27" s="211">
        <f>SUM(AF9:AF26)</f>
        <v>6942.057503955808</v>
      </c>
      <c r="AH27" s="216">
        <f>SUM(AH9:AH26)</f>
        <v>982260.3919289558</v>
      </c>
    </row>
    <row r="28" spans="2:34" ht="5.0999999999999996" customHeight="1" x14ac:dyDescent="0.2"/>
    <row r="29" spans="2:34" x14ac:dyDescent="0.2">
      <c r="B29" s="191" t="s">
        <v>12</v>
      </c>
      <c r="C29" s="192"/>
      <c r="D29" s="192"/>
      <c r="E29" s="191" t="s">
        <v>49</v>
      </c>
      <c r="F29" s="193"/>
      <c r="G29" s="192" t="s">
        <v>12</v>
      </c>
      <c r="H29" s="192"/>
      <c r="I29" s="192"/>
      <c r="J29" s="193"/>
      <c r="R29" s="191" t="s">
        <v>13</v>
      </c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3"/>
    </row>
    <row r="30" spans="2:34" ht="10.15" customHeight="1" x14ac:dyDescent="0.2"/>
    <row r="31" spans="2:34" ht="10.15" customHeight="1" x14ac:dyDescent="0.2">
      <c r="B31" s="111"/>
      <c r="D31" s="111">
        <v>41274</v>
      </c>
    </row>
    <row r="32" spans="2:34" ht="10.15" customHeight="1" x14ac:dyDescent="0.2"/>
    <row r="33" spans="2:7" ht="10.15" customHeight="1" x14ac:dyDescent="0.2">
      <c r="B33" s="110"/>
    </row>
    <row r="34" spans="2:7" x14ac:dyDescent="0.2">
      <c r="B34" s="110"/>
    </row>
    <row r="35" spans="2:7" x14ac:dyDescent="0.2">
      <c r="B35" s="110"/>
      <c r="F35" s="111"/>
      <c r="G35" s="111"/>
    </row>
  </sheetData>
  <mergeCells count="25">
    <mergeCell ref="B5:J5"/>
    <mergeCell ref="L5:P5"/>
    <mergeCell ref="R5:AH5"/>
    <mergeCell ref="B7:B8"/>
    <mergeCell ref="C7:C8"/>
    <mergeCell ref="D7:D8"/>
    <mergeCell ref="E7:E8"/>
    <mergeCell ref="F7:F8"/>
    <mergeCell ref="G7:H7"/>
    <mergeCell ref="I7:J7"/>
    <mergeCell ref="G29:J29"/>
    <mergeCell ref="E29:F29"/>
    <mergeCell ref="B29:D29"/>
    <mergeCell ref="P7:P8"/>
    <mergeCell ref="N7:O7"/>
    <mergeCell ref="L7:M7"/>
    <mergeCell ref="AE7:AF7"/>
    <mergeCell ref="AH7:AH8"/>
    <mergeCell ref="R29:AH29"/>
    <mergeCell ref="R7:S7"/>
    <mergeCell ref="U7:V7"/>
    <mergeCell ref="W7:X7"/>
    <mergeCell ref="Y7:Z7"/>
    <mergeCell ref="AA7:AB7"/>
    <mergeCell ref="AC7:AD7"/>
  </mergeCells>
  <pageMargins left="0.7" right="0.7" top="0.75" bottom="0.75" header="0.3" footer="0.3"/>
  <ignoredErrors>
    <ignoredError sqref="I27:J27 N27:O2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defaultColWidth="11.6640625" defaultRowHeight="11.25" x14ac:dyDescent="0.2"/>
  <cols>
    <col min="1" max="1" width="2.1640625" style="69" customWidth="1"/>
    <col min="2" max="2" width="3.5" style="69" customWidth="1"/>
    <col min="3" max="3" width="42.83203125" style="69" customWidth="1"/>
    <col min="4" max="4" width="128.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82" t="s">
        <v>51</v>
      </c>
      <c r="C2" s="182"/>
      <c r="D2" s="182"/>
    </row>
    <row r="3" spans="2:4" ht="3" customHeight="1" thickBot="1" x14ac:dyDescent="0.25"/>
    <row r="4" spans="2:4" x14ac:dyDescent="0.2">
      <c r="C4" s="183" t="s">
        <v>59</v>
      </c>
      <c r="D4" s="88" t="s">
        <v>52</v>
      </c>
    </row>
    <row r="5" spans="2:4" x14ac:dyDescent="0.2">
      <c r="C5" s="184"/>
      <c r="D5" s="70" t="s">
        <v>53</v>
      </c>
    </row>
    <row r="6" spans="2:4" x14ac:dyDescent="0.2">
      <c r="C6" s="184"/>
      <c r="D6" s="71" t="s">
        <v>54</v>
      </c>
    </row>
    <row r="7" spans="2:4" x14ac:dyDescent="0.2">
      <c r="C7" s="184"/>
      <c r="D7" s="70" t="s">
        <v>55</v>
      </c>
    </row>
    <row r="8" spans="2:4" ht="12" thickBot="1" x14ac:dyDescent="0.25">
      <c r="C8" s="185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83" t="s">
        <v>57</v>
      </c>
      <c r="D12" s="88" t="s">
        <v>58</v>
      </c>
    </row>
    <row r="13" spans="2:4" x14ac:dyDescent="0.2">
      <c r="C13" s="184"/>
      <c r="D13" s="70" t="s">
        <v>66</v>
      </c>
    </row>
    <row r="14" spans="2:4" x14ac:dyDescent="0.2">
      <c r="C14" s="184"/>
      <c r="D14" s="68" t="s">
        <v>60</v>
      </c>
    </row>
    <row r="15" spans="2:4" x14ac:dyDescent="0.2">
      <c r="C15" s="184"/>
      <c r="D15" s="87" t="s">
        <v>63</v>
      </c>
    </row>
    <row r="16" spans="2:4" x14ac:dyDescent="0.2">
      <c r="C16" s="184"/>
      <c r="D16" s="68" t="s">
        <v>65</v>
      </c>
    </row>
    <row r="17" spans="3:4" x14ac:dyDescent="0.2">
      <c r="C17" s="184"/>
      <c r="D17" s="87" t="s">
        <v>62</v>
      </c>
    </row>
    <row r="18" spans="3:4" x14ac:dyDescent="0.2">
      <c r="C18" s="184"/>
      <c r="D18" s="68" t="s">
        <v>64</v>
      </c>
    </row>
    <row r="19" spans="3:4" ht="12" thickBot="1" x14ac:dyDescent="0.25">
      <c r="C19" s="185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Alexia Levesque</cp:lastModifiedBy>
  <dcterms:created xsi:type="dcterms:W3CDTF">2011-03-30T03:31:33Z</dcterms:created>
  <dcterms:modified xsi:type="dcterms:W3CDTF">2022-11-11T22:07:16Z</dcterms:modified>
</cp:coreProperties>
</file>